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2"/>
  </bookViews>
  <sheets>
    <sheet name="Helice théorie" sheetId="1" r:id="rId1"/>
    <sheet name="Application" sheetId="2" r:id="rId2"/>
    <sheet name="PAS &amp; DIAMETRE" sheetId="3" r:id="rId3"/>
    <sheet name="Estimation des efforts" sheetId="4" r:id="rId4"/>
    <sheet name="Conso Max D2-75 VOLVO" sheetId="5" r:id="rId5"/>
    <sheet name="Puissance et conso Exp1" sheetId="6" r:id="rId6"/>
    <sheet name="Feuile de calcul conso" sheetId="7" r:id="rId7"/>
  </sheets>
  <definedNames>
    <definedName name="_xlnm.Print_Area" localSheetId="4">'Conso Max D2-75 VOLVO'!$S$5:$X$19</definedName>
    <definedName name="_xlnm.Print_Area" localSheetId="5">'Puissance et conso Exp1'!$E$1:$O$23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B18" authorId="0">
      <text>
        <r>
          <rPr>
            <b/>
            <sz val="8"/>
            <color indexed="8"/>
            <rFont val="Tahoma"/>
            <family val="2"/>
          </rPr>
          <t xml:space="preserve"> :
</t>
        </r>
        <r>
          <rPr>
            <sz val="8"/>
            <color indexed="8"/>
            <rFont val="Tahoma"/>
            <family val="2"/>
          </rPr>
          <t xml:space="preserve">0,27 ou 0,28 pour 3 pales avec fa/f 0,52; VOLVO,VETUS,FRANCE-HELICE
</t>
        </r>
      </text>
    </comment>
    <comment ref="B20" authorId="0">
      <text>
        <r>
          <rPr>
            <sz val="10"/>
            <rFont val="Arial"/>
            <family val="2"/>
          </rPr>
          <t>Ajuster pour obtenir le pas réel du fournisseur</t>
        </r>
      </text>
    </comment>
  </commentList>
</comments>
</file>

<file path=xl/sharedStrings.xml><?xml version="1.0" encoding="utf-8"?>
<sst xmlns="http://schemas.openxmlformats.org/spreadsheetml/2006/main" count="440" uniqueCount="315">
  <si>
    <t>Courbe de variation de la puissance</t>
  </si>
  <si>
    <r>
      <t xml:space="preserve">K = </t>
    </r>
    <r>
      <rPr>
        <sz val="10"/>
        <rFont val="Symbol"/>
        <family val="1"/>
      </rPr>
      <t>r</t>
    </r>
    <r>
      <rPr>
        <sz val="10"/>
        <rFont val="Arial"/>
        <family val="2"/>
      </rPr>
      <t xml:space="preserve"> *S / 4</t>
    </r>
  </si>
  <si>
    <t>Formule :</t>
  </si>
  <si>
    <r>
      <t>P</t>
    </r>
    <r>
      <rPr>
        <sz val="10"/>
        <rFont val="Arial"/>
        <family val="2"/>
      </rPr>
      <t xml:space="preserve"> = K*(V2-V1)*(V2+V1)²</t>
    </r>
  </si>
  <si>
    <r>
      <t xml:space="preserve">P </t>
    </r>
    <r>
      <rPr>
        <sz val="10"/>
        <rFont val="Arial"/>
        <family val="2"/>
      </rPr>
      <t>= K*(V2-C*V2)*(V2+CV2)²</t>
    </r>
  </si>
  <si>
    <t>V1 = C * V2</t>
  </si>
  <si>
    <t>C</t>
  </si>
  <si>
    <r>
      <t>P</t>
    </r>
    <r>
      <rPr>
        <b/>
        <sz val="10"/>
        <rFont val="Arial"/>
        <family val="2"/>
      </rPr>
      <t xml:space="preserve"> %</t>
    </r>
  </si>
  <si>
    <r>
      <t>P</t>
    </r>
    <r>
      <rPr>
        <b/>
        <sz val="10"/>
        <rFont val="Arial"/>
        <family val="2"/>
      </rPr>
      <t xml:space="preserve"> = K*V2*V2*V2*(1-C)(1+C)(1+C)</t>
    </r>
  </si>
  <si>
    <r>
      <t>V</t>
    </r>
    <r>
      <rPr>
        <sz val="8"/>
        <rFont val="Arial"/>
        <family val="2"/>
      </rPr>
      <t>1</t>
    </r>
    <r>
      <rPr>
        <sz val="10"/>
        <rFont val="Arial"/>
        <family val="2"/>
      </rPr>
      <t xml:space="preserve"> = V</t>
    </r>
    <r>
      <rPr>
        <sz val="8"/>
        <rFont val="Arial"/>
        <family val="2"/>
      </rPr>
      <t>2</t>
    </r>
    <r>
      <rPr>
        <sz val="10"/>
        <rFont val="Arial"/>
        <family val="2"/>
      </rPr>
      <t xml:space="preserve"> /3</t>
    </r>
  </si>
  <si>
    <r>
      <t>V</t>
    </r>
    <r>
      <rPr>
        <sz val="8"/>
        <rFont val="Arial"/>
        <family val="2"/>
      </rPr>
      <t>1</t>
    </r>
    <r>
      <rPr>
        <sz val="10"/>
        <rFont val="Arial"/>
        <family val="2"/>
      </rPr>
      <t xml:space="preserve"> = V</t>
    </r>
    <r>
      <rPr>
        <sz val="8"/>
        <rFont val="Arial"/>
        <family val="2"/>
      </rPr>
      <t>2</t>
    </r>
    <r>
      <rPr>
        <sz val="10"/>
        <rFont val="Arial"/>
        <family val="2"/>
      </rPr>
      <t xml:space="preserve"> /2</t>
    </r>
  </si>
  <si>
    <r>
      <t>V</t>
    </r>
    <r>
      <rPr>
        <sz val="8"/>
        <rFont val="Arial"/>
        <family val="2"/>
      </rPr>
      <t>1</t>
    </r>
    <r>
      <rPr>
        <sz val="10"/>
        <rFont val="Arial"/>
        <family val="2"/>
      </rPr>
      <t xml:space="preserve"> = 2*V</t>
    </r>
    <r>
      <rPr>
        <sz val="8"/>
        <rFont val="Arial"/>
        <family val="2"/>
      </rPr>
      <t xml:space="preserve">2 </t>
    </r>
    <r>
      <rPr>
        <sz val="10"/>
        <rFont val="Arial"/>
        <family val="2"/>
      </rPr>
      <t>/3</t>
    </r>
  </si>
  <si>
    <r>
      <t>V</t>
    </r>
    <r>
      <rPr>
        <sz val="8"/>
        <rFont val="Arial"/>
        <family val="2"/>
      </rPr>
      <t>1</t>
    </r>
    <r>
      <rPr>
        <sz val="10"/>
        <rFont val="Arial"/>
        <family val="2"/>
      </rPr>
      <t xml:space="preserve"> = V</t>
    </r>
    <r>
      <rPr>
        <sz val="8"/>
        <rFont val="Arial"/>
        <family val="2"/>
      </rPr>
      <t>2</t>
    </r>
  </si>
  <si>
    <r>
      <t xml:space="preserve">APPLICATION </t>
    </r>
    <r>
      <rPr>
        <b/>
        <u val="single"/>
        <sz val="10"/>
        <color indexed="17"/>
        <rFont val="Arial"/>
        <family val="2"/>
      </rPr>
      <t>dernière mise à jour 19 novembre 2008</t>
    </r>
  </si>
  <si>
    <r>
      <t>Date de mise en service du moteur VOLVO D2-75 sur Cardabela :</t>
    </r>
    <r>
      <rPr>
        <sz val="10"/>
        <rFont val="Arial"/>
        <family val="2"/>
      </rPr>
      <t xml:space="preserve"> 14/11/2007</t>
    </r>
  </si>
  <si>
    <r>
      <t>Choix de l'hélice 19"x17"x30mm :</t>
    </r>
    <r>
      <rPr>
        <sz val="10"/>
        <rFont val="Arial"/>
        <family val="2"/>
      </rPr>
      <t xml:space="preserve"> Ce choix est dû aux conditions restrictives suivantes </t>
    </r>
  </si>
  <si>
    <t>1 - Impossibilité de monter un arbre plus gros que 30 millimètres, limitation du diamètre par la cage d'hélice</t>
  </si>
  <si>
    <t>2 - Limitation du diamètre d'hélice par les dimensions de la cage d'hélice</t>
  </si>
  <si>
    <t>3 - Disponibilité d'une hélice adaptable.</t>
  </si>
  <si>
    <t xml:space="preserve">Il eût peut être été préférable de monter une hélice de 19"x16" qui est restée introuvable, </t>
  </si>
  <si>
    <t>toutefois la puissance du moteur est telle qu'il ne sera jamais nécessaire d'aller chercher la puissace maximale en navigation.</t>
  </si>
  <si>
    <t>La force estimée en statique est déjà bien suffisante : 900 daN</t>
  </si>
  <si>
    <r>
      <t>TABLEAUX :</t>
    </r>
    <r>
      <rPr>
        <b/>
        <sz val="10"/>
        <rFont val="Arial"/>
        <family val="2"/>
      </rPr>
      <t xml:space="preserve"> </t>
    </r>
  </si>
  <si>
    <r>
      <t>PAS &amp; DIAMETRE :</t>
    </r>
    <r>
      <rPr>
        <sz val="10"/>
        <rFont val="Arial"/>
        <family val="2"/>
      </rPr>
      <t xml:space="preserve"> L'estimation a été éclaircie par rapport aux estimations présentée en octobre.</t>
    </r>
  </si>
  <si>
    <t>Estimation des efforts :</t>
  </si>
  <si>
    <t>- Les données de puissances moteur données par VOLVO ont été ajoutées et intégrées.</t>
  </si>
  <si>
    <t xml:space="preserve">- Un nouveau graphique présentant la puissance absorbée par l'hélice en superposition des puissances moteur, puissance sur l'arbre, </t>
  </si>
  <si>
    <t>puissance linéaire utilisé précédemment.</t>
  </si>
  <si>
    <r>
      <t xml:space="preserve">- Le recul a été corrigé par modification du coefficient inverse de qualité Q *(0,27/0,305)  </t>
    </r>
    <r>
      <rPr>
        <i/>
        <strike/>
        <sz val="10"/>
        <rFont val="Arial"/>
        <family val="2"/>
      </rPr>
      <t>en rouge sur fond vert pâle</t>
    </r>
    <r>
      <rPr>
        <strike/>
        <sz val="10"/>
        <rFont val="Arial"/>
        <family val="2"/>
      </rPr>
      <t xml:space="preserve"> afin d'adapter les</t>
    </r>
  </si>
  <si>
    <t>tableaux et graphiques à un recul de 0,27.</t>
  </si>
  <si>
    <r>
      <t>10/12/07</t>
    </r>
    <r>
      <rPr>
        <sz val="10"/>
        <rFont val="Arial"/>
        <family val="2"/>
      </rPr>
      <t xml:space="preserve"> Le recul est maintenant corrigé par l'insersion d'une nouvelle ligne "</t>
    </r>
    <r>
      <rPr>
        <sz val="10"/>
        <color indexed="12"/>
        <rFont val="Arial"/>
        <family val="2"/>
      </rPr>
      <t>** Recul réel estimé à P optimale * =</t>
    </r>
    <r>
      <rPr>
        <sz val="10"/>
        <rFont val="Arial"/>
        <family val="2"/>
      </rPr>
      <t>" (PAS &amp; DIAMETRE)</t>
    </r>
  </si>
  <si>
    <r>
      <t>10/12/07</t>
    </r>
    <r>
      <rPr>
        <sz val="10"/>
        <rFont val="Arial"/>
        <family val="2"/>
      </rPr>
      <t xml:space="preserve"> La ligne "</t>
    </r>
    <r>
      <rPr>
        <sz val="10"/>
        <color indexed="17"/>
        <rFont val="Arial"/>
        <family val="2"/>
      </rPr>
      <t>** Ajuster le recul pour adapter au pas réel * =</t>
    </r>
    <r>
      <rPr>
        <sz val="10"/>
        <rFont val="Arial"/>
        <family val="2"/>
      </rPr>
      <t>" sert au calcul initial et permet de corriger pour valider le pas réel !!!</t>
    </r>
  </si>
  <si>
    <r>
      <t>Graphes 19x17 :</t>
    </r>
    <r>
      <rPr>
        <sz val="10"/>
        <rFont val="Arial"/>
        <family val="2"/>
      </rPr>
      <t xml:space="preserve"> Pas de changement pour l'instant.</t>
    </r>
  </si>
  <si>
    <r>
      <t>13/12/07</t>
    </r>
    <r>
      <rPr>
        <sz val="10"/>
        <rFont val="Arial"/>
        <family val="2"/>
      </rPr>
      <t xml:space="preserve"> Mise à jour des graphes pour OpenOffice</t>
    </r>
  </si>
  <si>
    <r>
      <t>Essai en statique :</t>
    </r>
    <r>
      <rPr>
        <sz val="10"/>
        <rFont val="Arial"/>
        <family val="2"/>
      </rPr>
      <t xml:space="preserve"> Nombre de tours max 2350 manette des gaz au maximun en marche avant; laisse présumer un recul de 0,27 !</t>
    </r>
  </si>
  <si>
    <r>
      <t>10/02/2008</t>
    </r>
    <r>
      <rPr>
        <sz val="10"/>
        <rFont val="Arial"/>
        <family val="2"/>
      </rPr>
      <t xml:space="preserve"> ajout de la feuille de calcul de consommation et premiers essais en mer à 7 nœuds pendant 3 heures.</t>
    </r>
  </si>
  <si>
    <t>tr/min</t>
  </si>
  <si>
    <t>vitesse (nds)</t>
  </si>
  <si>
    <t>Conditions :</t>
  </si>
  <si>
    <t>Pas de vent ou très peu, un peu de houle hélice et coque pas parfaitement propre.</t>
  </si>
  <si>
    <t>7 - 6,4</t>
  </si>
  <si>
    <t>8,4 - 8,5</t>
  </si>
  <si>
    <t>7,1 - 7,2</t>
  </si>
  <si>
    <t>Conso :</t>
  </si>
  <si>
    <t>litres/heure</t>
  </si>
  <si>
    <t>litre/mile nautique</t>
  </si>
  <si>
    <r>
      <t xml:space="preserve">09/06/08 </t>
    </r>
    <r>
      <rPr>
        <sz val="10"/>
        <rFont val="Arial"/>
        <family val="2"/>
      </rPr>
      <t>Feuille Application : ajouté 4 graphes d'estimations V(N); et  consommations estimées.</t>
    </r>
  </si>
  <si>
    <t>Prévisions :</t>
  </si>
  <si>
    <t>N</t>
  </si>
  <si>
    <t>V</t>
  </si>
  <si>
    <t>F</t>
  </si>
  <si>
    <t>P</t>
  </si>
  <si>
    <t>Conso l/h</t>
  </si>
  <si>
    <t>Conso l/mn</t>
  </si>
  <si>
    <t>k</t>
  </si>
  <si>
    <t>?</t>
  </si>
  <si>
    <t>Err</t>
  </si>
  <si>
    <r>
      <t xml:space="preserve">11/06/08 </t>
    </r>
    <r>
      <rPr>
        <sz val="10"/>
        <rFont val="Arial"/>
        <family val="2"/>
      </rPr>
      <t>Feuille Estimation des efforts : correction des consommations estimées.</t>
    </r>
  </si>
  <si>
    <r>
      <t xml:space="preserve">11/06/08 </t>
    </r>
    <r>
      <rPr>
        <sz val="10"/>
        <rFont val="Arial"/>
        <family val="2"/>
      </rPr>
      <t>Feuille Graphes de conso VOLVO : correction des consommations estimées.</t>
    </r>
  </si>
  <si>
    <r>
      <t xml:space="preserve">11/06/08 </t>
    </r>
    <r>
      <rPr>
        <sz val="10"/>
        <rFont val="Arial"/>
        <family val="2"/>
      </rPr>
      <t>Feuille de calcul conso : correction des données graphiques.</t>
    </r>
  </si>
  <si>
    <r>
      <t xml:space="preserve">21/06/08 </t>
    </r>
    <r>
      <rPr>
        <sz val="10"/>
        <rFont val="Arial"/>
        <family val="2"/>
      </rPr>
      <t>Changement du boitier de contrôle par VOLVO Port Camargue</t>
    </r>
  </si>
  <si>
    <r>
      <t xml:space="preserve">21/06/08 </t>
    </r>
    <r>
      <rPr>
        <sz val="10"/>
        <rFont val="Arial"/>
        <family val="2"/>
      </rPr>
      <t>Pas de modification notable des vitesses bateau/rotation moteur</t>
    </r>
  </si>
  <si>
    <r>
      <t xml:space="preserve">28/06/08 à 30/06/08 </t>
    </r>
    <r>
      <rPr>
        <sz val="10"/>
        <color indexed="17"/>
        <rFont val="Arial"/>
        <family val="2"/>
      </rPr>
      <t>Nav pour faire 30 heures moteur 1750 et 1300 tr/min Conso conforme aux nouveaux calculs</t>
    </r>
  </si>
  <si>
    <r>
      <t>17/10/08</t>
    </r>
    <r>
      <rPr>
        <sz val="10"/>
        <rFont val="Arial"/>
        <family val="2"/>
      </rPr>
      <t xml:space="preserve"> Introduction du couple dans le graphe Estimation des efforts</t>
    </r>
  </si>
  <si>
    <r>
      <t>20/10/08</t>
    </r>
    <r>
      <rPr>
        <sz val="10"/>
        <rFont val="Arial"/>
        <family val="2"/>
      </rPr>
      <t xml:space="preserve"> Corrections selon documenation VOLVO</t>
    </r>
  </si>
  <si>
    <r>
      <t>02/11/08</t>
    </r>
    <r>
      <rPr>
        <sz val="10"/>
        <rFont val="Arial"/>
        <family val="2"/>
      </rPr>
      <t xml:space="preserve"> Suppression de la feuilles inutiles "Graphes 19X17, et suppression des données et graphiques de l'</t>
    </r>
    <r>
      <rPr>
        <b/>
        <sz val="10"/>
        <rFont val="Arial"/>
        <family val="2"/>
      </rPr>
      <t>étude</t>
    </r>
    <r>
      <rPr>
        <sz val="10"/>
        <rFont val="Arial"/>
        <family val="2"/>
      </rPr>
      <t xml:space="preserve"> devenus inutiles</t>
    </r>
  </si>
  <si>
    <t>Céation d'une nouvelle feuille "Puissance et conso Exp1" et renommé la feuille "Graphes de conso VOLVO" en</t>
  </si>
  <si>
    <t>"Conso Max D2-75 VOLVO"</t>
  </si>
  <si>
    <r>
      <t>03/11/08</t>
    </r>
    <r>
      <rPr>
        <sz val="10"/>
        <rFont val="Arial"/>
        <family val="2"/>
      </rPr>
      <t xml:space="preserve"> Mises à jour du classeur.</t>
    </r>
  </si>
  <si>
    <r>
      <t>18/11/08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Complément d'étude pour un hélice 19"x16" Sauvegarde sous le nom Helice-etude19x16-PostAppl-VOLVO-D2-75.xls</t>
    </r>
  </si>
  <si>
    <t>Helice-etude19x16-PostAppl-VOLVO-D2-75.xls</t>
  </si>
  <si>
    <r>
      <t>- On voit sur les courbes d'</t>
    </r>
    <r>
      <rPr>
        <b/>
        <sz val="10"/>
        <rFont val="Arial Narrow"/>
        <family val="2"/>
      </rPr>
      <t>estimation des efforts</t>
    </r>
    <r>
      <rPr>
        <sz val="10"/>
        <rFont val="Arial Narrow"/>
        <family val="2"/>
      </rPr>
      <t xml:space="preserve"> que l'on arrive à utiliser la puissance maximale du moteur quelle que soit la vitesse de déplacement</t>
    </r>
  </si>
  <si>
    <t>du bateau.</t>
  </si>
  <si>
    <t>- L'effort maximal en statique peut être obtenu avec une hélice de coefficient de surface = 0,55 (à 3000 tr/min)</t>
  </si>
  <si>
    <t>Avec un coefficient de surface égal à 0,515 la cavitation risque d'apparaître (vers 2800 tr/min) en statique.</t>
  </si>
  <si>
    <r>
      <t xml:space="preserve">- Les avantages de cette hélice </t>
    </r>
    <r>
      <rPr>
        <i/>
        <u val="single"/>
        <sz val="10"/>
        <rFont val="Arial Narrow"/>
        <family val="2"/>
      </rPr>
      <t>(par rapport à la 19x17)</t>
    </r>
    <r>
      <rPr>
        <b/>
        <i/>
        <u val="single"/>
        <sz val="10"/>
        <rFont val="Arial Narrow"/>
        <family val="2"/>
      </rPr>
      <t xml:space="preserve"> pourraient être :</t>
    </r>
  </si>
  <si>
    <r>
      <t xml:space="preserve">la </t>
    </r>
    <r>
      <rPr>
        <b/>
        <sz val="10"/>
        <rFont val="Arial Narrow"/>
        <family val="2"/>
      </rPr>
      <t>diminution de consommation</t>
    </r>
    <r>
      <rPr>
        <sz val="10"/>
        <rFont val="Arial Narrow"/>
        <family val="2"/>
      </rPr>
      <t xml:space="preserve"> pour des vitesses de rotation recommandées &gt;= 1700 tr/min avec R=0,84 =~ 5,8 Nds (</t>
    </r>
    <r>
      <rPr>
        <b/>
        <sz val="10"/>
        <rFont val="Arial Narrow"/>
        <family val="2"/>
      </rPr>
      <t>Puissance et conso Exp1</t>
    </r>
    <r>
      <rPr>
        <sz val="10"/>
        <rFont val="Arial Narrow"/>
        <family val="2"/>
      </rPr>
      <t>)</t>
    </r>
  </si>
  <si>
    <t>une meilleure souplesse moteur associée une meilleure répartition de la puissance.</t>
  </si>
  <si>
    <t>Comparaisons</t>
  </si>
  <si>
    <t>19 x 17</t>
  </si>
  <si>
    <t>19 x 16</t>
  </si>
  <si>
    <t>R = 0,85</t>
  </si>
  <si>
    <t>V = 5,85 Nds</t>
  </si>
  <si>
    <t>P = 15,9 kW</t>
  </si>
  <si>
    <t>2,82 l/h</t>
  </si>
  <si>
    <t>0,48 l/Nm</t>
  </si>
  <si>
    <t>1640 tr/mn</t>
  </si>
  <si>
    <t>1850 tr/mn</t>
  </si>
  <si>
    <t>R = 1,05</t>
  </si>
  <si>
    <t>V = 7,22 Nds</t>
  </si>
  <si>
    <t>P = 22,6 kW</t>
  </si>
  <si>
    <t>4,84 l/h</t>
  </si>
  <si>
    <t>0,67 l/Nm</t>
  </si>
  <si>
    <t>1965 tr/mn</t>
  </si>
  <si>
    <t>2190 tr/mn</t>
  </si>
  <si>
    <r>
      <t>13/10/09</t>
    </r>
    <r>
      <rPr>
        <sz val="10"/>
        <rFont val="Arial"/>
        <family val="2"/>
      </rPr>
      <t xml:space="preserve"> Mises à jour de la feuille PAS &amp; DIAMETRE pour éviter une confusion sur le recul, lignes 18 et 19.</t>
    </r>
  </si>
  <si>
    <t>Ajouté la disponibilité de l'étude pour un hélice de 16 pouces, ligne 31.</t>
  </si>
  <si>
    <t>Estimation du pas et du diamètre d'hélice pour un voilier à déplacement.</t>
  </si>
  <si>
    <t>Cette estimation ne tient pas compte de tous les paramètres, consultez un hélicier pour plus d'information</t>
  </si>
  <si>
    <t>Déterminer le diamètre de l'hélice à l'aide de l'abaque : Utiliser le calcul VETUS (Cellule G13 en vert)</t>
  </si>
  <si>
    <t>Cette estimation suppose que l'avant et l'arrière de l'hélice sont bien dégagés.</t>
  </si>
  <si>
    <t>Noter que l'on ne peut pas atteindre la vitesse maximale si on ne passe pas R = 0,95 !</t>
  </si>
  <si>
    <t>Pour plus d'informations consultez le site : http://tramontane34.free.fr/ConsNavAm/telecharger-calcul-helices.php</t>
  </si>
  <si>
    <t>Remplir uniquement les cases noires</t>
  </si>
  <si>
    <t>Longeur à la flottaison en mètres =</t>
  </si>
  <si>
    <t>Coefficient de finesse du navire =</t>
  </si>
  <si>
    <t>Largeurà la flottaisonen mètres =</t>
  </si>
  <si>
    <t>Degré de vitesse R =</t>
  </si>
  <si>
    <t>R (m/sec) = V / RACINE(Lf) --- Foudre = R / 3,132</t>
  </si>
  <si>
    <t>Puissance sur l'arbre en CV =</t>
  </si>
  <si>
    <t>Pour calcul VETUS R = 1,275 (m/s)</t>
  </si>
  <si>
    <t>Puissance sur l'arbre en KW =</t>
  </si>
  <si>
    <t>Puissance retenue en KW =</t>
  </si>
  <si>
    <t>Poids en charge, en tonnes =</t>
  </si>
  <si>
    <t>Puissance en CV par tonne =</t>
  </si>
  <si>
    <t>Forcer la vitesse maximale estimée :</t>
  </si>
  <si>
    <t>Vitesse maximale du voilier à 5CV/tonne à R = 1,33 :</t>
  </si>
  <si>
    <t>Calcul VETUS:</t>
  </si>
  <si>
    <t>Vitesse maximale estimée retenue en nœuds =</t>
  </si>
  <si>
    <t>Vitesse optimale estimée en nœuds =</t>
  </si>
  <si>
    <t>Vitesse de propulsion estimée de l'hélice en mètres/seconde =</t>
  </si>
  <si>
    <t>Rapport de réduction =</t>
  </si>
  <si>
    <t>Diamètre optimal estimé en mètre =</t>
  </si>
  <si>
    <t>pouces</t>
  </si>
  <si>
    <t>Nombre de tours moteurs à la puissance maximale =</t>
  </si>
  <si>
    <t>Pas optimal estimé en mètre =</t>
  </si>
  <si>
    <r>
      <t>**</t>
    </r>
    <r>
      <rPr>
        <sz val="8"/>
        <color indexed="12"/>
        <rFont val="Arial"/>
        <family val="2"/>
      </rPr>
      <t xml:space="preserve"> Recul réel estimé à P optimale </t>
    </r>
    <r>
      <rPr>
        <sz val="8"/>
        <color indexed="10"/>
        <rFont val="Arial"/>
        <family val="2"/>
      </rPr>
      <t>*</t>
    </r>
    <r>
      <rPr>
        <sz val="8"/>
        <color indexed="12"/>
        <rFont val="Arial"/>
        <family val="2"/>
      </rPr>
      <t xml:space="preserve"> =</t>
    </r>
  </si>
  <si>
    <t>Pas réel en mètre =</t>
  </si>
  <si>
    <t>Cellule de contrôle :</t>
  </si>
  <si>
    <r>
      <t>Coeff. Q</t>
    </r>
    <r>
      <rPr>
        <b/>
        <vertAlign val="superscript"/>
        <sz val="8"/>
        <color indexed="12"/>
        <rFont val="Arial"/>
        <family val="2"/>
      </rPr>
      <t>-1</t>
    </r>
    <r>
      <rPr>
        <b/>
        <sz val="8"/>
        <color indexed="12"/>
        <rFont val="Arial"/>
        <family val="2"/>
      </rPr>
      <t xml:space="preserve"> inverse optimal de la qualité de l'hélice à la propulsion = </t>
    </r>
  </si>
  <si>
    <r>
      <t>**</t>
    </r>
    <r>
      <rPr>
        <sz val="8"/>
        <color indexed="17"/>
        <rFont val="Arial"/>
        <family val="2"/>
      </rPr>
      <t xml:space="preserve"> Ajuster pour adapter au pas réel =</t>
    </r>
  </si>
  <si>
    <r>
      <t>*</t>
    </r>
    <r>
      <rPr>
        <sz val="8"/>
        <color indexed="12"/>
        <rFont val="Arial"/>
        <family val="2"/>
      </rPr>
      <t xml:space="preserve"> La puissance optimale est ici la puissance maximale du moteur par vent contraire ramenant la vitesse du navire à la vitesse optimale </t>
    </r>
  </si>
  <si>
    <t xml:space="preserve">Hauteur minimale de dégagement de la cage (recommandation) : </t>
  </si>
  <si>
    <t>Hauteur de la cage d'hélice =</t>
  </si>
  <si>
    <r>
      <t>**</t>
    </r>
    <r>
      <rPr>
        <sz val="8"/>
        <color indexed="10"/>
        <rFont val="Arial"/>
        <family val="2"/>
      </rPr>
      <t xml:space="preserve"> La correction est automatique dans les estimations pour le cas où le pas de l'hélice du fournisseur est différent du pas calculé !</t>
    </r>
  </si>
  <si>
    <t>** Il eût peu-être été préférable d'installer une hélice de 19x16,41 pouces avec recul 0,28; l'hélice la plus approchante trouvée est 19x17 pouces</t>
  </si>
  <si>
    <t>** Le recul estimé expérimental semble être plus proche de 0,27 d'après les premiers essais.</t>
  </si>
  <si>
    <t>Ce calcul permet  de conserver 1/3 de la puissance pour résister aux vents contraires à la vitesse optimale</t>
  </si>
  <si>
    <t>Le résultat de ces calculs est perceptible sur la feuille "Estimation des efforts"</t>
  </si>
  <si>
    <t>Réducteurs</t>
  </si>
  <si>
    <t>Etude pour un moteur VOLVO D2-75 :</t>
  </si>
  <si>
    <t>RH</t>
  </si>
  <si>
    <t>(Inverseur MS25L)</t>
  </si>
  <si>
    <t>LH</t>
  </si>
  <si>
    <t>On trouvera l'étude pour une hélice au pas 16 pouces sur le même serveur</t>
  </si>
  <si>
    <t>Helice Estimation des efforts</t>
  </si>
  <si>
    <t>D =</t>
  </si>
  <si>
    <t>Pas =</t>
  </si>
  <si>
    <t>Pmot retenue =</t>
  </si>
  <si>
    <t>Tours/min à Pmax =</t>
  </si>
  <si>
    <t>NE MODIFIEZ PAS LES CHIFFRES EN VERT</t>
  </si>
  <si>
    <r>
      <t>Coeff. Q</t>
    </r>
    <r>
      <rPr>
        <b/>
        <vertAlign val="superscript"/>
        <sz val="8"/>
        <rFont val="Arial"/>
        <family val="2"/>
      </rPr>
      <t>-1</t>
    </r>
    <r>
      <rPr>
        <b/>
        <sz val="8"/>
        <rFont val="Arial"/>
        <family val="2"/>
      </rPr>
      <t xml:space="preserve"> =</t>
    </r>
  </si>
  <si>
    <r>
      <t>r</t>
    </r>
    <r>
      <rPr>
        <b/>
        <sz val="10"/>
        <rFont val="Arial Narrow"/>
        <family val="2"/>
      </rPr>
      <t xml:space="preserve"> &gt;= (kg) =</t>
    </r>
  </si>
  <si>
    <t>MODIFIEZ LES VALEURS DANS LA PAGE "Estimation PAS &amp; DIAMETRE"</t>
  </si>
  <si>
    <t xml:space="preserve">Diamètre = </t>
  </si>
  <si>
    <t>S (m²) =</t>
  </si>
  <si>
    <t>Recul =</t>
  </si>
  <si>
    <r>
      <t>r</t>
    </r>
    <r>
      <rPr>
        <b/>
        <sz val="10"/>
        <rFont val="Arial Narrow"/>
        <family val="2"/>
      </rPr>
      <t xml:space="preserve">*S/2 = </t>
    </r>
  </si>
  <si>
    <r>
      <t>V</t>
    </r>
    <r>
      <rPr>
        <b/>
        <sz val="8"/>
        <rFont val="Arial Narrow"/>
        <family val="2"/>
      </rPr>
      <t>2</t>
    </r>
    <r>
      <rPr>
        <b/>
        <sz val="10"/>
        <rFont val="Arial Narrow"/>
        <family val="2"/>
      </rPr>
      <t xml:space="preserve"> = (2*Vp)-Vd</t>
    </r>
  </si>
  <si>
    <t>Réduc =</t>
  </si>
  <si>
    <t>Sh/S =</t>
  </si>
  <si>
    <t>Vd = vitesse du navire</t>
  </si>
  <si>
    <t>Profondeur de l'hélice (m) =</t>
  </si>
  <si>
    <t>Pour "démasquer" toutes les cellules : tout sélectionner puis cliquer sur le cadre lignes ou colonnes avec le bouton droit de la souris puis sur "afficher"</t>
  </si>
  <si>
    <t>Evaluation en dynamique</t>
  </si>
  <si>
    <t>Vd optimale en nœuds =</t>
  </si>
  <si>
    <t>R =</t>
  </si>
  <si>
    <t>Dépression</t>
  </si>
  <si>
    <t>Tr moteur/mn</t>
  </si>
  <si>
    <t>Watts</t>
  </si>
  <si>
    <t>P dispo</t>
  </si>
  <si>
    <t>Réduct</t>
  </si>
  <si>
    <t>Tr hélice/mn</t>
  </si>
  <si>
    <t>coeff.</t>
  </si>
  <si>
    <t>Vh (m/sec)</t>
  </si>
  <si>
    <t>Vh(Nœuds)</t>
  </si>
  <si>
    <t>Vd</t>
  </si>
  <si>
    <t>Q</t>
  </si>
  <si>
    <t>Recul</t>
  </si>
  <si>
    <t>Vp(Nœuds)</t>
  </si>
  <si>
    <t>V2 Nds</t>
  </si>
  <si>
    <r>
      <t>r</t>
    </r>
    <r>
      <rPr>
        <sz val="10"/>
        <rFont val="Arial Narrow"/>
        <family val="2"/>
      </rPr>
      <t xml:space="preserve">*S/2 = </t>
    </r>
  </si>
  <si>
    <r>
      <t xml:space="preserve"> </t>
    </r>
    <r>
      <rPr>
        <sz val="10"/>
        <rFont val="Arial Narrow"/>
        <family val="2"/>
      </rPr>
      <t>F(Newton)</t>
    </r>
  </si>
  <si>
    <t>P (Watt)</t>
  </si>
  <si>
    <t>h</t>
  </si>
  <si>
    <t>S</t>
  </si>
  <si>
    <t>(Pascal)</t>
  </si>
  <si>
    <r>
      <t>r</t>
    </r>
    <r>
      <rPr>
        <sz val="10"/>
        <rFont val="Arial Narrow"/>
        <family val="2"/>
      </rPr>
      <t>*g*h</t>
    </r>
  </si>
  <si>
    <t>Plage à</t>
  </si>
  <si>
    <t>éviter (turbo)</t>
  </si>
  <si>
    <t>Plage</t>
  </si>
  <si>
    <t>d'utilisation</t>
  </si>
  <si>
    <t>permanente</t>
  </si>
  <si>
    <t>exceptionnelle</t>
  </si>
  <si>
    <t>très</t>
  </si>
  <si>
    <t>Charge d'hélice en Kg/cm² max 1,2 kg/cm² pour hélice Radice 3 pales</t>
  </si>
  <si>
    <t>Réduc 2 =</t>
  </si>
  <si>
    <t>Vd = vitese du navire</t>
  </si>
  <si>
    <t>avec Sh / S = fa / f = 0,515 ( fa / f : doc. Radice Hélice type E13)</t>
  </si>
  <si>
    <t>VOUS POUVEZ EVALUER FORCE, PUISSANCE, ET RENDEMENT, EN MODIFIANT LA VALEUR DE Vd</t>
  </si>
  <si>
    <t>Vd en nœuds =</t>
  </si>
  <si>
    <t>Dep + Pres</t>
  </si>
  <si>
    <t>Charge hélice</t>
  </si>
  <si>
    <t>P arbre</t>
  </si>
  <si>
    <t xml:space="preserve"> F(Newton)</t>
  </si>
  <si>
    <t>kg/cm²</t>
  </si>
  <si>
    <t>Sh/S</t>
  </si>
  <si>
    <t>(kg/cm²)</t>
  </si>
  <si>
    <t xml:space="preserve">non </t>
  </si>
  <si>
    <t>conseillée</t>
  </si>
  <si>
    <t>(Turbo inactif)</t>
  </si>
  <si>
    <t>Moteur VOLVO D2-75</t>
  </si>
  <si>
    <t>à ( en nœuds) :</t>
  </si>
  <si>
    <t>Ph / Pm % =</t>
  </si>
  <si>
    <t>Couple moteur en Mètre*Newton x 100</t>
  </si>
  <si>
    <t>Ph/Pm</t>
  </si>
  <si>
    <t>P mot W</t>
  </si>
  <si>
    <t>P lin</t>
  </si>
  <si>
    <t>C*100</t>
  </si>
  <si>
    <t>Consommation maximale fonction du nombre de tours du moteur D2-75 VOLVO</t>
  </si>
  <si>
    <t>Doc VOLVO:</t>
  </si>
  <si>
    <t>Puissance au villebrequin à 1200 tr/mn ~= 24 kW</t>
  </si>
  <si>
    <t>Puissance au villebrequin à 3000 tr/mn ~= 55 kW</t>
  </si>
  <si>
    <t>~= 52 kW</t>
  </si>
  <si>
    <t>arbre-d'hélice</t>
  </si>
  <si>
    <t>Exp 3</t>
  </si>
  <si>
    <t>Graphes litres/heure</t>
  </si>
  <si>
    <t>Puissance</t>
  </si>
  <si>
    <t>Doc Volvo</t>
  </si>
  <si>
    <t>Calculé</t>
  </si>
  <si>
    <t>Extrapolation</t>
  </si>
  <si>
    <t>CV à l'hélice</t>
  </si>
  <si>
    <t>kW à l'hélice</t>
  </si>
  <si>
    <t>tr/mn</t>
  </si>
  <si>
    <t>Evaluation de la puisance et de la consommation Expérience 1</t>
  </si>
  <si>
    <t>P (kW)</t>
  </si>
  <si>
    <t>N f( P )</t>
  </si>
  <si>
    <t>Expérience 1</t>
  </si>
  <si>
    <t>Influence de</t>
  </si>
  <si>
    <t>V (Nds)</t>
  </si>
  <si>
    <t>Résistance</t>
  </si>
  <si>
    <t>h = 0,62</t>
  </si>
  <si>
    <t>h = 0,66</t>
  </si>
  <si>
    <t>P + réaliste</t>
  </si>
  <si>
    <t xml:space="preserve">h = </t>
  </si>
  <si>
    <t>vague étrave</t>
  </si>
  <si>
    <t>Zone</t>
  </si>
  <si>
    <t>à éviter avec</t>
  </si>
  <si>
    <t>le turbo</t>
  </si>
  <si>
    <t>qui démarre</t>
  </si>
  <si>
    <t>à 1500:1600 tr</t>
  </si>
  <si>
    <t>(charbonnage)</t>
  </si>
  <si>
    <t>Cap à passer</t>
  </si>
  <si>
    <t>élevée</t>
  </si>
  <si>
    <t>Vitesses de rotation recommandées :</t>
  </si>
  <si>
    <t>1700 tours / mile nautique à 6 nœuds ; conso 0,56 l/mn</t>
  </si>
  <si>
    <t>1950 tours / mile nautique à 7 nœuds ; conso 0,66 l/mn</t>
  </si>
  <si>
    <t>Vitesses de rotation possible avec risque d'encrassement du turbo :</t>
  </si>
  <si>
    <t>1350 à 1400 tours / mile nautique autour de 5 nœuds ; conso &lt; 0,50 l/mn</t>
  </si>
  <si>
    <t>Estimation des consommations</t>
  </si>
  <si>
    <t xml:space="preserve">      Gasoil  acheté  et  ajouté</t>
  </si>
  <si>
    <t>Niv</t>
  </si>
  <si>
    <t>TOTAUX</t>
  </si>
  <si>
    <t xml:space="preserve">    Autonomie</t>
  </si>
  <si>
    <t>Gasoil</t>
  </si>
  <si>
    <t>Consommation de carburant (Voir Graphes de conso VOLVO)</t>
  </si>
  <si>
    <t>Lieu</t>
  </si>
  <si>
    <t>Heure M</t>
  </si>
  <si>
    <t>LOG (NM)</t>
  </si>
  <si>
    <t>Date</t>
  </si>
  <si>
    <t>Litres</t>
  </si>
  <si>
    <t>Prix</t>
  </si>
  <si>
    <t>Marque</t>
  </si>
  <si>
    <t>Bac</t>
  </si>
  <si>
    <t>(cm)</t>
  </si>
  <si>
    <t>TANK</t>
  </si>
  <si>
    <t>Jerry</t>
  </si>
  <si>
    <t>Réel</t>
  </si>
  <si>
    <t>L/H</t>
  </si>
  <si>
    <t>Estimé</t>
  </si>
  <si>
    <t># R-E</t>
  </si>
  <si>
    <t>L/MN</t>
  </si>
  <si>
    <t>MN</t>
  </si>
  <si>
    <t>Heures</t>
  </si>
  <si>
    <t>Prix / Lit</t>
  </si>
  <si>
    <t>Estimation sans vent.</t>
  </si>
  <si>
    <t>Reports</t>
  </si>
  <si>
    <t>oui</t>
  </si>
  <si>
    <t>Vitesse (Nds)</t>
  </si>
  <si>
    <t>Rendement</t>
  </si>
  <si>
    <t>Tours moteur</t>
  </si>
  <si>
    <t>Litres/heure</t>
  </si>
  <si>
    <t>Litres/Mn</t>
  </si>
  <si>
    <t>LGM</t>
  </si>
  <si>
    <t>Rodage à vide</t>
  </si>
  <si>
    <t>Carref</t>
  </si>
  <si>
    <t>non</t>
  </si>
  <si>
    <t>Essais à 7 nds</t>
  </si>
  <si>
    <t>Manœuvres</t>
  </si>
  <si>
    <t>Rodage à poste</t>
  </si>
  <si>
    <t>Achat</t>
  </si>
  <si>
    <t>Auchan</t>
  </si>
  <si>
    <t>Essais divers</t>
  </si>
  <si>
    <t>LGM-&gt;Marseillan</t>
  </si>
  <si>
    <t>Marseillan-&gt;Marseillan</t>
  </si>
  <si>
    <t>Marseillan-&gt;LGM</t>
  </si>
  <si>
    <t>STATS</t>
  </si>
  <si>
    <t>reste :</t>
  </si>
  <si>
    <t>Moy :</t>
  </si>
  <si>
    <t>Statistiques 2008 voyage de …………….…. À ……….……….</t>
  </si>
  <si>
    <t>Consommation:</t>
  </si>
  <si>
    <t xml:space="preserve">Conso moyenne L/H : </t>
  </si>
  <si>
    <t xml:space="preserve">Conso moyenne L/MN : </t>
  </si>
  <si>
    <t>Pour le calcul de la capacité du tank VETUS 170 litres consulter consogasoil.xls</t>
  </si>
  <si>
    <t>Statistiques 2007 voyage de ………. À ……….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</si>
</sst>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  <numFmt numFmtId="166" formatCode="0.000"/>
    <numFmt numFmtId="167" formatCode="0.00_ ;[Red]\-0.00\ "/>
    <numFmt numFmtId="168" formatCode="0_ ;[Red]\-0\ "/>
    <numFmt numFmtId="169" formatCode="0.000_ ;[Red]\-0.000\ "/>
    <numFmt numFmtId="170" formatCode="#,##0.00&quot; €&quot;"/>
    <numFmt numFmtId="171" formatCode="0.0_ ;[Red]\-0.0\ "/>
    <numFmt numFmtId="172" formatCode="#,##0.000&quot; €&quot;;[Red]\-#,##0.000&quot; €&quot;"/>
    <numFmt numFmtId="173" formatCode="#,##0.000&quot; €&quot;"/>
    <numFmt numFmtId="174" formatCode="#,##0_ ;[Red]\-#,##0\ "/>
    <numFmt numFmtId="175" formatCode="#,##0.00_ ;[Red]\-#,##0.00\ "/>
  </numFmts>
  <fonts count="86">
    <font>
      <sz val="10"/>
      <name val="Arial"/>
      <family val="2"/>
    </font>
    <font>
      <sz val="10"/>
      <name val="Symbol"/>
      <family val="1"/>
    </font>
    <font>
      <b/>
      <sz val="10"/>
      <name val="Arial"/>
      <family val="2"/>
    </font>
    <font>
      <b/>
      <sz val="10"/>
      <name val="Symbol"/>
      <family val="1"/>
    </font>
    <font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7"/>
      <name val="Arial"/>
      <family val="2"/>
    </font>
    <font>
      <sz val="10"/>
      <color indexed="17"/>
      <name val="Arial"/>
      <family val="2"/>
    </font>
    <font>
      <strike/>
      <sz val="10"/>
      <name val="Arial"/>
      <family val="2"/>
    </font>
    <font>
      <i/>
      <strike/>
      <sz val="10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55"/>
      <name val="Arial"/>
      <family val="2"/>
    </font>
    <font>
      <b/>
      <sz val="10"/>
      <color indexed="23"/>
      <name val="Arial"/>
      <family val="2"/>
    </font>
    <font>
      <sz val="10"/>
      <color indexed="22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 Narrow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u val="single"/>
      <sz val="10"/>
      <name val="Arial Narrow"/>
      <family val="2"/>
    </font>
    <font>
      <i/>
      <u val="single"/>
      <sz val="10"/>
      <name val="Arial Narrow"/>
      <family val="2"/>
    </font>
    <font>
      <strike/>
      <sz val="10"/>
      <color indexed="10"/>
      <name val="Arial Narrow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b/>
      <sz val="8"/>
      <color indexed="17"/>
      <name val="Arial"/>
      <family val="2"/>
    </font>
    <font>
      <u val="single"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60"/>
      <name val="Arial"/>
      <family val="2"/>
    </font>
    <font>
      <b/>
      <i/>
      <sz val="8"/>
      <color indexed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i/>
      <sz val="8"/>
      <color indexed="10"/>
      <name val="Arial"/>
      <family val="2"/>
    </font>
    <font>
      <sz val="8"/>
      <color indexed="31"/>
      <name val="Arial"/>
      <family val="2"/>
    </font>
    <font>
      <b/>
      <vertAlign val="superscript"/>
      <sz val="8"/>
      <color indexed="12"/>
      <name val="Arial"/>
      <family val="2"/>
    </font>
    <font>
      <sz val="8"/>
      <color indexed="57"/>
      <name val="Arial"/>
      <family val="2"/>
    </font>
    <font>
      <b/>
      <i/>
      <sz val="8"/>
      <color indexed="12"/>
      <name val="Arial"/>
      <family val="2"/>
    </font>
    <font>
      <i/>
      <sz val="8"/>
      <name val="Arial"/>
      <family val="2"/>
    </font>
    <font>
      <sz val="8"/>
      <color indexed="23"/>
      <name val="Arial"/>
      <family val="2"/>
    </font>
    <font>
      <b/>
      <sz val="24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4"/>
      <name val="Arial Narrow"/>
      <family val="2"/>
    </font>
    <font>
      <b/>
      <sz val="10"/>
      <color indexed="17"/>
      <name val="Arial Narrow"/>
      <family val="2"/>
    </font>
    <font>
      <b/>
      <sz val="10"/>
      <color indexed="57"/>
      <name val="Arial Narrow"/>
      <family val="2"/>
    </font>
    <font>
      <b/>
      <sz val="10"/>
      <color indexed="21"/>
      <name val="Arial Narrow"/>
      <family val="2"/>
    </font>
    <font>
      <b/>
      <vertAlign val="superscript"/>
      <sz val="8"/>
      <name val="Arial"/>
      <family val="2"/>
    </font>
    <font>
      <b/>
      <sz val="8"/>
      <name val="Arial Narrow"/>
      <family val="2"/>
    </font>
    <font>
      <b/>
      <i/>
      <sz val="10"/>
      <color indexed="62"/>
      <name val="Arial Narrow"/>
      <family val="2"/>
    </font>
    <font>
      <sz val="10"/>
      <color indexed="55"/>
      <name val="Arial"/>
      <family val="2"/>
    </font>
    <font>
      <sz val="10"/>
      <color indexed="55"/>
      <name val="Arial Narrow"/>
      <family val="2"/>
    </font>
    <font>
      <sz val="10"/>
      <color indexed="10"/>
      <name val="Arial Narrow"/>
      <family val="2"/>
    </font>
    <font>
      <sz val="10"/>
      <color indexed="17"/>
      <name val="Arial Narrow"/>
      <family val="2"/>
    </font>
    <font>
      <b/>
      <i/>
      <sz val="10"/>
      <color indexed="10"/>
      <name val="Arial Narrow"/>
      <family val="2"/>
    </font>
    <font>
      <b/>
      <i/>
      <u val="single"/>
      <sz val="8"/>
      <color indexed="10"/>
      <name val="Arial"/>
      <family val="2"/>
    </font>
    <font>
      <sz val="10"/>
      <color indexed="15"/>
      <name val="Arial"/>
      <family val="2"/>
    </font>
    <font>
      <sz val="10"/>
      <color indexed="14"/>
      <name val="Arial"/>
      <family val="2"/>
    </font>
    <font>
      <sz val="10"/>
      <color indexed="13"/>
      <name val="Arial"/>
      <family val="2"/>
    </font>
    <font>
      <sz val="10"/>
      <color indexed="21"/>
      <name val="Arial"/>
      <family val="2"/>
    </font>
    <font>
      <sz val="10"/>
      <color indexed="18"/>
      <name val="Arial"/>
      <family val="2"/>
    </font>
    <font>
      <sz val="10"/>
      <color indexed="2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b/>
      <sz val="15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 Narrow"/>
      <family val="2"/>
    </font>
    <font>
      <sz val="10"/>
      <color indexed="25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22"/>
      <name val="Arial"/>
      <family val="2"/>
    </font>
    <font>
      <b/>
      <i/>
      <sz val="8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79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2" borderId="0" xfId="0" applyNumberFormat="1" applyFill="1" applyAlignment="1">
      <alignment/>
    </xf>
    <xf numFmtId="165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Font="1" applyBorder="1" applyAlignment="1">
      <alignment horizontal="right"/>
    </xf>
    <xf numFmtId="0" fontId="0" fillId="0" borderId="0" xfId="0" applyBorder="1" applyAlignment="1">
      <alignment horizontal="right"/>
    </xf>
    <xf numFmtId="166" fontId="0" fillId="0" borderId="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13" fillId="0" borderId="0" xfId="0" applyNumberFormat="1" applyFont="1" applyAlignment="1">
      <alignment/>
    </xf>
    <xf numFmtId="0" fontId="2" fillId="0" borderId="3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" fontId="0" fillId="0" borderId="8" xfId="0" applyNumberForma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17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2" fontId="17" fillId="0" borderId="0" xfId="0" applyNumberFormat="1" applyFont="1" applyAlignment="1">
      <alignment/>
    </xf>
    <xf numFmtId="164" fontId="0" fillId="0" borderId="0" xfId="0" applyNumberFormat="1" applyBorder="1" applyAlignment="1">
      <alignment horizontal="center"/>
    </xf>
    <xf numFmtId="1" fontId="18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2" fontId="18" fillId="0" borderId="0" xfId="0" applyNumberFormat="1" applyFont="1" applyAlignment="1">
      <alignment/>
    </xf>
    <xf numFmtId="1" fontId="0" fillId="0" borderId="11" xfId="0" applyNumberFormat="1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13" fillId="0" borderId="5" xfId="0" applyFont="1" applyBorder="1" applyAlignment="1">
      <alignment/>
    </xf>
    <xf numFmtId="0" fontId="13" fillId="0" borderId="9" xfId="0" applyFont="1" applyBorder="1" applyAlignment="1">
      <alignment/>
    </xf>
    <xf numFmtId="0" fontId="20" fillId="0" borderId="0" xfId="15" applyNumberFormat="1" applyFont="1" applyFill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2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2" fillId="0" borderId="9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left"/>
    </xf>
    <xf numFmtId="0" fontId="27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15" applyNumberFormat="1" applyFont="1" applyFill="1" applyBorder="1" applyAlignment="1" applyProtection="1">
      <alignment/>
      <protection/>
    </xf>
    <xf numFmtId="0" fontId="31" fillId="0" borderId="0" xfId="0" applyFont="1" applyAlignment="1">
      <alignment horizontal="left"/>
    </xf>
    <xf numFmtId="2" fontId="4" fillId="0" borderId="0" xfId="0" applyNumberFormat="1" applyFont="1" applyAlignment="1" applyProtection="1">
      <alignment horizontal="left"/>
      <protection locked="0"/>
    </xf>
    <xf numFmtId="2" fontId="27" fillId="0" borderId="0" xfId="0" applyNumberFormat="1" applyFont="1" applyAlignment="1">
      <alignment horizontal="left"/>
    </xf>
    <xf numFmtId="0" fontId="31" fillId="0" borderId="0" xfId="0" applyFont="1" applyAlignment="1">
      <alignment horizontal="right"/>
    </xf>
    <xf numFmtId="166" fontId="31" fillId="0" borderId="0" xfId="0" applyNumberFormat="1" applyFont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2" fontId="32" fillId="0" borderId="0" xfId="0" applyNumberFormat="1" applyFont="1" applyAlignment="1" applyProtection="1">
      <alignment horizontal="left"/>
      <protection locked="0"/>
    </xf>
    <xf numFmtId="0" fontId="34" fillId="0" borderId="0" xfId="0" applyFont="1" applyAlignment="1">
      <alignment horizontal="right"/>
    </xf>
    <xf numFmtId="2" fontId="34" fillId="0" borderId="0" xfId="0" applyNumberFormat="1" applyFont="1" applyAlignment="1">
      <alignment horizontal="left"/>
    </xf>
    <xf numFmtId="0" fontId="35" fillId="0" borderId="0" xfId="0" applyFont="1" applyAlignment="1">
      <alignment horizontal="right"/>
    </xf>
    <xf numFmtId="2" fontId="32" fillId="0" borderId="0" xfId="0" applyNumberFormat="1" applyFont="1" applyAlignment="1">
      <alignment horizontal="left"/>
    </xf>
    <xf numFmtId="2" fontId="33" fillId="0" borderId="0" xfId="0" applyNumberFormat="1" applyFont="1" applyAlignment="1">
      <alignment horizontal="left"/>
    </xf>
    <xf numFmtId="2" fontId="35" fillId="0" borderId="0" xfId="0" applyNumberFormat="1" applyFont="1" applyAlignment="1">
      <alignment horizontal="left"/>
    </xf>
    <xf numFmtId="165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166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/>
    </xf>
    <xf numFmtId="0" fontId="36" fillId="0" borderId="0" xfId="0" applyFont="1" applyAlignment="1">
      <alignment/>
    </xf>
    <xf numFmtId="167" fontId="35" fillId="0" borderId="0" xfId="0" applyNumberFormat="1" applyFont="1" applyAlignment="1">
      <alignment horizontal="left"/>
    </xf>
    <xf numFmtId="0" fontId="37" fillId="0" borderId="0" xfId="0" applyFont="1" applyAlignment="1">
      <alignment/>
    </xf>
    <xf numFmtId="166" fontId="4" fillId="0" borderId="0" xfId="0" applyNumberFormat="1" applyFont="1" applyAlignment="1" applyProtection="1">
      <alignment horizontal="left"/>
      <protection locked="0"/>
    </xf>
    <xf numFmtId="0" fontId="40" fillId="0" borderId="0" xfId="0" applyFont="1" applyFill="1" applyBorder="1" applyAlignment="1">
      <alignment horizontal="left"/>
    </xf>
    <xf numFmtId="0" fontId="29" fillId="0" borderId="0" xfId="0" applyFont="1" applyAlignment="1">
      <alignment horizontal="right"/>
    </xf>
    <xf numFmtId="2" fontId="29" fillId="0" borderId="0" xfId="0" applyNumberFormat="1" applyFont="1" applyAlignment="1">
      <alignment horizontal="left"/>
    </xf>
    <xf numFmtId="166" fontId="41" fillId="3" borderId="0" xfId="0" applyNumberFormat="1" applyFont="1" applyFill="1" applyAlignment="1" applyProtection="1">
      <alignment horizontal="left"/>
      <protection/>
    </xf>
    <xf numFmtId="0" fontId="43" fillId="0" borderId="0" xfId="0" applyFont="1" applyAlignment="1">
      <alignment horizontal="right"/>
    </xf>
    <xf numFmtId="0" fontId="34" fillId="0" borderId="0" xfId="0" applyFont="1" applyAlignment="1">
      <alignment horizontal="left"/>
    </xf>
    <xf numFmtId="164" fontId="36" fillId="0" borderId="0" xfId="0" applyNumberFormat="1" applyFont="1" applyAlignment="1">
      <alignment horizontal="left"/>
    </xf>
    <xf numFmtId="164" fontId="36" fillId="0" borderId="0" xfId="0" applyNumberFormat="1" applyFont="1" applyAlignment="1">
      <alignment/>
    </xf>
    <xf numFmtId="0" fontId="34" fillId="0" borderId="0" xfId="0" applyFont="1" applyAlignment="1">
      <alignment/>
    </xf>
    <xf numFmtId="0" fontId="43" fillId="0" borderId="0" xfId="0" applyFont="1" applyAlignment="1">
      <alignment/>
    </xf>
    <xf numFmtId="0" fontId="4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1" fillId="0" borderId="0" xfId="0" applyFont="1" applyAlignment="1">
      <alignment/>
    </xf>
    <xf numFmtId="0" fontId="44" fillId="0" borderId="0" xfId="0" applyFont="1" applyAlignment="1">
      <alignment/>
    </xf>
    <xf numFmtId="2" fontId="4" fillId="0" borderId="0" xfId="0" applyNumberFormat="1" applyFont="1" applyFill="1" applyBorder="1" applyAlignment="1">
      <alignment horizontal="left"/>
    </xf>
    <xf numFmtId="2" fontId="4" fillId="2" borderId="0" xfId="0" applyNumberFormat="1" applyFont="1" applyFill="1" applyAlignment="1" applyProtection="1">
      <alignment/>
      <protection locked="0"/>
    </xf>
    <xf numFmtId="165" fontId="36" fillId="2" borderId="0" xfId="0" applyNumberFormat="1" applyFont="1" applyFill="1" applyAlignment="1">
      <alignment/>
    </xf>
    <xf numFmtId="2" fontId="31" fillId="0" borderId="0" xfId="0" applyNumberFormat="1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 applyProtection="1">
      <alignment horizontal="left"/>
      <protection locked="0"/>
    </xf>
    <xf numFmtId="0" fontId="36" fillId="0" borderId="0" xfId="0" applyFont="1" applyFill="1" applyBorder="1" applyAlignment="1">
      <alignment horizontal="left"/>
    </xf>
    <xf numFmtId="2" fontId="4" fillId="0" borderId="0" xfId="0" applyNumberFormat="1" applyFont="1" applyAlignment="1" applyProtection="1">
      <alignment/>
      <protection locked="0"/>
    </xf>
    <xf numFmtId="165" fontId="36" fillId="0" borderId="0" xfId="0" applyNumberFormat="1" applyFont="1" applyAlignment="1">
      <alignment/>
    </xf>
    <xf numFmtId="0" fontId="45" fillId="0" borderId="0" xfId="0" applyFont="1" applyFill="1" applyBorder="1" applyAlignment="1">
      <alignment horizontal="left"/>
    </xf>
    <xf numFmtId="2" fontId="4" fillId="0" borderId="0" xfId="0" applyNumberFormat="1" applyFont="1" applyFill="1" applyAlignment="1" applyProtection="1">
      <alignment/>
      <protection locked="0"/>
    </xf>
    <xf numFmtId="165" fontId="36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Fill="1" applyAlignment="1">
      <alignment/>
    </xf>
    <xf numFmtId="2" fontId="31" fillId="0" borderId="0" xfId="0" applyNumberFormat="1" applyFont="1" applyAlignment="1">
      <alignment horizontal="right"/>
    </xf>
    <xf numFmtId="0" fontId="37" fillId="0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2" fontId="4" fillId="0" borderId="0" xfId="0" applyNumberFormat="1" applyFont="1" applyFill="1" applyAlignment="1">
      <alignment horizontal="left"/>
    </xf>
    <xf numFmtId="0" fontId="27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1" fillId="0" borderId="0" xfId="0" applyFont="1" applyFill="1" applyAlignment="1">
      <alignment/>
    </xf>
    <xf numFmtId="2" fontId="46" fillId="0" borderId="0" xfId="0" applyNumberFormat="1" applyFont="1" applyAlignment="1">
      <alignment horizontal="left"/>
    </xf>
    <xf numFmtId="0" fontId="46" fillId="0" borderId="0" xfId="0" applyFont="1" applyAlignment="1">
      <alignment horizontal="right"/>
    </xf>
    <xf numFmtId="2" fontId="46" fillId="0" borderId="0" xfId="0" applyNumberFormat="1" applyFont="1" applyFill="1" applyAlignment="1">
      <alignment horizontal="left"/>
    </xf>
    <xf numFmtId="0" fontId="46" fillId="0" borderId="0" xfId="0" applyFont="1" applyFill="1" applyAlignment="1">
      <alignment horizontal="right"/>
    </xf>
    <xf numFmtId="0" fontId="46" fillId="0" borderId="0" xfId="0" applyFont="1" applyFill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168" fontId="0" fillId="0" borderId="0" xfId="0" applyNumberFormat="1" applyFont="1" applyBorder="1" applyAlignment="1">
      <alignment/>
    </xf>
    <xf numFmtId="168" fontId="22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50" fillId="0" borderId="0" xfId="0" applyNumberFormat="1" applyFont="1" applyBorder="1" applyAlignment="1">
      <alignment/>
    </xf>
    <xf numFmtId="1" fontId="22" fillId="0" borderId="0" xfId="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166" fontId="22" fillId="0" borderId="0" xfId="0" applyNumberFormat="1" applyFont="1" applyBorder="1" applyAlignment="1">
      <alignment/>
    </xf>
    <xf numFmtId="165" fontId="22" fillId="0" borderId="0" xfId="0" applyNumberFormat="1" applyFont="1" applyBorder="1" applyAlignment="1">
      <alignment/>
    </xf>
    <xf numFmtId="2" fontId="23" fillId="0" borderId="0" xfId="0" applyNumberFormat="1" applyFont="1" applyBorder="1" applyAlignment="1">
      <alignment horizontal="right"/>
    </xf>
    <xf numFmtId="2" fontId="23" fillId="0" borderId="0" xfId="0" applyNumberFormat="1" applyFont="1" applyBorder="1" applyAlignment="1">
      <alignment/>
    </xf>
    <xf numFmtId="167" fontId="51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167" fontId="23" fillId="0" borderId="0" xfId="0" applyNumberFormat="1" applyFont="1" applyBorder="1" applyAlignment="1">
      <alignment/>
    </xf>
    <xf numFmtId="167" fontId="22" fillId="0" borderId="0" xfId="0" applyNumberFormat="1" applyFont="1" applyBorder="1" applyAlignment="1">
      <alignment/>
    </xf>
    <xf numFmtId="167" fontId="23" fillId="0" borderId="0" xfId="0" applyNumberFormat="1" applyFont="1" applyBorder="1" applyAlignment="1">
      <alignment horizontal="right"/>
    </xf>
    <xf numFmtId="168" fontId="23" fillId="0" borderId="0" xfId="0" applyNumberFormat="1" applyFont="1" applyBorder="1" applyAlignment="1">
      <alignment horizontal="right"/>
    </xf>
    <xf numFmtId="165" fontId="23" fillId="0" borderId="0" xfId="0" applyNumberFormat="1" applyFont="1" applyBorder="1" applyAlignment="1">
      <alignment horizontal="right"/>
    </xf>
    <xf numFmtId="167" fontId="52" fillId="0" borderId="0" xfId="0" applyNumberFormat="1" applyFont="1" applyBorder="1" applyAlignment="1" applyProtection="1">
      <alignment horizontal="left"/>
      <protection/>
    </xf>
    <xf numFmtId="1" fontId="23" fillId="0" borderId="0" xfId="0" applyNumberFormat="1" applyFont="1" applyBorder="1" applyAlignment="1">
      <alignment horizontal="right"/>
    </xf>
    <xf numFmtId="2" fontId="52" fillId="0" borderId="0" xfId="0" applyNumberFormat="1" applyFont="1" applyBorder="1" applyAlignment="1" applyProtection="1">
      <alignment horizontal="left"/>
      <protection/>
    </xf>
    <xf numFmtId="1" fontId="52" fillId="0" borderId="0" xfId="0" applyNumberFormat="1" applyFont="1" applyBorder="1" applyAlignment="1" applyProtection="1">
      <alignment horizontal="left"/>
      <protection/>
    </xf>
    <xf numFmtId="2" fontId="53" fillId="2" borderId="0" xfId="0" applyNumberFormat="1" applyFont="1" applyFill="1" applyBorder="1" applyAlignment="1">
      <alignment/>
    </xf>
    <xf numFmtId="2" fontId="22" fillId="2" borderId="0" xfId="0" applyNumberFormat="1" applyFont="1" applyFill="1" applyBorder="1" applyAlignment="1">
      <alignment/>
    </xf>
    <xf numFmtId="167" fontId="22" fillId="2" borderId="0" xfId="0" applyNumberFormat="1" applyFont="1" applyFill="1" applyBorder="1" applyAlignment="1">
      <alignment/>
    </xf>
    <xf numFmtId="0" fontId="22" fillId="2" borderId="0" xfId="0" applyFont="1" applyFill="1" applyBorder="1" applyAlignment="1">
      <alignment/>
    </xf>
    <xf numFmtId="168" fontId="22" fillId="2" borderId="0" xfId="0" applyNumberFormat="1" applyFont="1" applyFill="1" applyBorder="1" applyAlignment="1">
      <alignment/>
    </xf>
    <xf numFmtId="167" fontId="23" fillId="2" borderId="0" xfId="0" applyNumberFormat="1" applyFont="1" applyFill="1" applyBorder="1" applyAlignment="1">
      <alignment horizontal="right"/>
    </xf>
    <xf numFmtId="0" fontId="31" fillId="0" borderId="0" xfId="0" applyFont="1" applyFill="1" applyAlignment="1">
      <alignment horizontal="right"/>
    </xf>
    <xf numFmtId="2" fontId="52" fillId="0" borderId="0" xfId="0" applyNumberFormat="1" applyFont="1" applyFill="1" applyBorder="1" applyAlignment="1" applyProtection="1">
      <alignment horizontal="left"/>
      <protection/>
    </xf>
    <xf numFmtId="2" fontId="52" fillId="0" borderId="0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 horizontal="right"/>
    </xf>
    <xf numFmtId="1" fontId="23" fillId="0" borderId="0" xfId="0" applyNumberFormat="1" applyFont="1" applyBorder="1" applyAlignment="1" applyProtection="1">
      <alignment horizontal="left"/>
      <protection locked="0"/>
    </xf>
    <xf numFmtId="167" fontId="3" fillId="2" borderId="0" xfId="0" applyNumberFormat="1" applyFont="1" applyFill="1" applyBorder="1" applyAlignment="1">
      <alignment horizontal="right"/>
    </xf>
    <xf numFmtId="167" fontId="22" fillId="0" borderId="0" xfId="0" applyNumberFormat="1" applyFont="1" applyBorder="1" applyAlignment="1">
      <alignment horizontal="left"/>
    </xf>
    <xf numFmtId="1" fontId="22" fillId="0" borderId="0" xfId="0" applyNumberFormat="1" applyFont="1" applyBorder="1" applyAlignment="1">
      <alignment horizontal="left"/>
    </xf>
    <xf numFmtId="166" fontId="52" fillId="0" borderId="0" xfId="0" applyNumberFormat="1" applyFont="1" applyBorder="1" applyAlignment="1" applyProtection="1">
      <alignment horizontal="left"/>
      <protection/>
    </xf>
    <xf numFmtId="165" fontId="52" fillId="0" borderId="0" xfId="0" applyNumberFormat="1" applyFont="1" applyBorder="1" applyAlignment="1" applyProtection="1">
      <alignment horizontal="left"/>
      <protection/>
    </xf>
    <xf numFmtId="165" fontId="2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left"/>
    </xf>
    <xf numFmtId="168" fontId="22" fillId="0" borderId="0" xfId="0" applyNumberFormat="1" applyFont="1" applyBorder="1" applyAlignment="1">
      <alignment horizontal="left"/>
    </xf>
    <xf numFmtId="167" fontId="3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6" fontId="23" fillId="0" borderId="0" xfId="0" applyNumberFormat="1" applyFont="1" applyBorder="1" applyAlignment="1">
      <alignment horizontal="left"/>
    </xf>
    <xf numFmtId="167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23" fillId="0" borderId="0" xfId="0" applyNumberFormat="1" applyFont="1" applyBorder="1" applyAlignment="1">
      <alignment horizontal="left"/>
    </xf>
    <xf numFmtId="167" fontId="23" fillId="0" borderId="0" xfId="0" applyNumberFormat="1" applyFont="1" applyBorder="1" applyAlignment="1">
      <alignment horizontal="left"/>
    </xf>
    <xf numFmtId="2" fontId="56" fillId="0" borderId="0" xfId="0" applyNumberFormat="1" applyFont="1" applyBorder="1" applyAlignment="1">
      <alignment horizontal="left"/>
    </xf>
    <xf numFmtId="1" fontId="23" fillId="0" borderId="0" xfId="0" applyNumberFormat="1" applyFont="1" applyBorder="1" applyAlignment="1">
      <alignment/>
    </xf>
    <xf numFmtId="166" fontId="23" fillId="0" borderId="0" xfId="0" applyNumberFormat="1" applyFont="1" applyBorder="1" applyAlignment="1">
      <alignment/>
    </xf>
    <xf numFmtId="165" fontId="23" fillId="0" borderId="0" xfId="0" applyNumberFormat="1" applyFont="1" applyBorder="1" applyAlignment="1">
      <alignment/>
    </xf>
    <xf numFmtId="1" fontId="23" fillId="2" borderId="0" xfId="0" applyNumberFormat="1" applyFont="1" applyFill="1" applyBorder="1" applyAlignment="1">
      <alignment horizontal="left"/>
    </xf>
    <xf numFmtId="2" fontId="23" fillId="2" borderId="0" xfId="0" applyNumberFormat="1" applyFont="1" applyFill="1" applyBorder="1" applyAlignment="1">
      <alignment/>
    </xf>
    <xf numFmtId="1" fontId="22" fillId="2" borderId="0" xfId="0" applyNumberFormat="1" applyFont="1" applyFill="1" applyBorder="1" applyAlignment="1">
      <alignment/>
    </xf>
    <xf numFmtId="2" fontId="51" fillId="0" borderId="0" xfId="0" applyNumberFormat="1" applyFont="1" applyBorder="1" applyAlignment="1" applyProtection="1">
      <alignment horizontal="left"/>
      <protection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" fontId="22" fillId="0" borderId="15" xfId="0" applyNumberFormat="1" applyFont="1" applyBorder="1" applyAlignment="1">
      <alignment horizontal="center"/>
    </xf>
    <xf numFmtId="2" fontId="22" fillId="0" borderId="2" xfId="0" applyNumberFormat="1" applyFont="1" applyBorder="1" applyAlignment="1">
      <alignment horizontal="center"/>
    </xf>
    <xf numFmtId="1" fontId="22" fillId="0" borderId="2" xfId="0" applyNumberFormat="1" applyFont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165" fontId="22" fillId="0" borderId="2" xfId="0" applyNumberFormat="1" applyFont="1" applyBorder="1" applyAlignment="1">
      <alignment horizontal="center"/>
    </xf>
    <xf numFmtId="2" fontId="22" fillId="0" borderId="3" xfId="0" applyNumberFormat="1" applyFont="1" applyBorder="1" applyAlignment="1">
      <alignment horizontal="center"/>
    </xf>
    <xf numFmtId="2" fontId="22" fillId="0" borderId="15" xfId="0" applyNumberFormat="1" applyFont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168" fontId="1" fillId="0" borderId="2" xfId="0" applyNumberFormat="1" applyFont="1" applyBorder="1" applyAlignment="1">
      <alignment horizontal="center"/>
    </xf>
    <xf numFmtId="168" fontId="22" fillId="4" borderId="2" xfId="0" applyNumberFormat="1" applyFont="1" applyFill="1" applyBorder="1" applyAlignment="1">
      <alignment horizontal="center"/>
    </xf>
    <xf numFmtId="167" fontId="1" fillId="0" borderId="3" xfId="0" applyNumberFormat="1" applyFont="1" applyBorder="1" applyAlignment="1">
      <alignment horizontal="center"/>
    </xf>
    <xf numFmtId="168" fontId="22" fillId="0" borderId="15" xfId="0" applyNumberFormat="1" applyFont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67" fontId="1" fillId="0" borderId="2" xfId="0" applyNumberFormat="1" applyFont="1" applyBorder="1" applyAlignment="1">
      <alignment horizontal="center"/>
    </xf>
    <xf numFmtId="167" fontId="22" fillId="0" borderId="1" xfId="0" applyNumberFormat="1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2" fontId="51" fillId="0" borderId="6" xfId="0" applyNumberFormat="1" applyFont="1" applyBorder="1" applyAlignment="1">
      <alignment horizontal="center"/>
    </xf>
    <xf numFmtId="1" fontId="22" fillId="0" borderId="6" xfId="0" applyNumberFormat="1" applyFont="1" applyBorder="1" applyAlignment="1">
      <alignment horizontal="center"/>
    </xf>
    <xf numFmtId="166" fontId="51" fillId="0" borderId="6" xfId="0" applyNumberFormat="1" applyFont="1" applyBorder="1" applyAlignment="1">
      <alignment horizontal="center"/>
    </xf>
    <xf numFmtId="2" fontId="22" fillId="0" borderId="6" xfId="0" applyNumberFormat="1" applyFont="1" applyBorder="1" applyAlignment="1">
      <alignment horizontal="center"/>
    </xf>
    <xf numFmtId="165" fontId="51" fillId="0" borderId="6" xfId="0" applyNumberFormat="1" applyFont="1" applyBorder="1" applyAlignment="1">
      <alignment horizontal="center"/>
    </xf>
    <xf numFmtId="2" fontId="22" fillId="0" borderId="7" xfId="0" applyNumberFormat="1" applyFont="1" applyBorder="1" applyAlignment="1">
      <alignment horizontal="center"/>
    </xf>
    <xf numFmtId="2" fontId="51" fillId="0" borderId="5" xfId="0" applyNumberFormat="1" applyFont="1" applyBorder="1" applyAlignment="1">
      <alignment horizontal="center"/>
    </xf>
    <xf numFmtId="167" fontId="22" fillId="0" borderId="6" xfId="0" applyNumberFormat="1" applyFont="1" applyBorder="1" applyAlignment="1">
      <alignment horizontal="center"/>
    </xf>
    <xf numFmtId="167" fontId="51" fillId="0" borderId="6" xfId="0" applyNumberFormat="1" applyFont="1" applyBorder="1" applyAlignment="1">
      <alignment horizontal="center"/>
    </xf>
    <xf numFmtId="168" fontId="1" fillId="0" borderId="6" xfId="0" applyNumberFormat="1" applyFont="1" applyBorder="1" applyAlignment="1">
      <alignment horizontal="center"/>
    </xf>
    <xf numFmtId="168" fontId="1" fillId="4" borderId="6" xfId="0" applyNumberFormat="1" applyFont="1" applyFill="1" applyBorder="1" applyAlignment="1">
      <alignment horizontal="center"/>
    </xf>
    <xf numFmtId="167" fontId="1" fillId="0" borderId="7" xfId="0" applyNumberFormat="1" applyFont="1" applyBorder="1" applyAlignment="1">
      <alignment horizontal="center"/>
    </xf>
    <xf numFmtId="169" fontId="52" fillId="0" borderId="5" xfId="0" applyNumberFormat="1" applyFont="1" applyBorder="1" applyAlignment="1">
      <alignment horizontal="center"/>
    </xf>
    <xf numFmtId="168" fontId="22" fillId="0" borderId="6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168" fontId="52" fillId="0" borderId="0" xfId="0" applyNumberFormat="1" applyFont="1" applyBorder="1" applyAlignment="1">
      <alignment horizontal="center"/>
    </xf>
    <xf numFmtId="167" fontId="0" fillId="0" borderId="8" xfId="0" applyNumberFormat="1" applyFont="1" applyBorder="1" applyAlignment="1">
      <alignment/>
    </xf>
    <xf numFmtId="167" fontId="0" fillId="0" borderId="8" xfId="0" applyNumberFormat="1" applyBorder="1" applyAlignment="1">
      <alignment/>
    </xf>
    <xf numFmtId="0" fontId="57" fillId="0" borderId="0" xfId="0" applyFont="1" applyBorder="1" applyAlignment="1">
      <alignment/>
    </xf>
    <xf numFmtId="0" fontId="57" fillId="0" borderId="9" xfId="0" applyFont="1" applyBorder="1" applyAlignment="1">
      <alignment/>
    </xf>
    <xf numFmtId="2" fontId="57" fillId="0" borderId="0" xfId="0" applyNumberFormat="1" applyFont="1" applyBorder="1" applyAlignment="1">
      <alignment/>
    </xf>
    <xf numFmtId="1" fontId="57" fillId="0" borderId="0" xfId="0" applyNumberFormat="1" applyFont="1" applyBorder="1" applyAlignment="1">
      <alignment/>
    </xf>
    <xf numFmtId="166" fontId="57" fillId="0" borderId="0" xfId="0" applyNumberFormat="1" applyFont="1" applyBorder="1" applyAlignment="1">
      <alignment/>
    </xf>
    <xf numFmtId="165" fontId="57" fillId="0" borderId="0" xfId="0" applyNumberFormat="1" applyFont="1" applyBorder="1" applyAlignment="1">
      <alignment/>
    </xf>
    <xf numFmtId="2" fontId="57" fillId="0" borderId="10" xfId="0" applyNumberFormat="1" applyFont="1" applyBorder="1" applyAlignment="1">
      <alignment/>
    </xf>
    <xf numFmtId="2" fontId="57" fillId="0" borderId="9" xfId="0" applyNumberFormat="1" applyFont="1" applyBorder="1" applyAlignment="1">
      <alignment/>
    </xf>
    <xf numFmtId="167" fontId="57" fillId="0" borderId="0" xfId="0" applyNumberFormat="1" applyFont="1" applyBorder="1" applyAlignment="1">
      <alignment/>
    </xf>
    <xf numFmtId="168" fontId="57" fillId="0" borderId="0" xfId="0" applyNumberFormat="1" applyFont="1" applyBorder="1" applyAlignment="1">
      <alignment/>
    </xf>
    <xf numFmtId="168" fontId="57" fillId="4" borderId="0" xfId="0" applyNumberFormat="1" applyFont="1" applyFill="1" applyBorder="1" applyAlignment="1">
      <alignment/>
    </xf>
    <xf numFmtId="167" fontId="57" fillId="0" borderId="10" xfId="0" applyNumberFormat="1" applyFont="1" applyBorder="1" applyAlignment="1">
      <alignment/>
    </xf>
    <xf numFmtId="169" fontId="58" fillId="0" borderId="9" xfId="0" applyNumberFormat="1" applyFont="1" applyBorder="1" applyAlignment="1">
      <alignment/>
    </xf>
    <xf numFmtId="168" fontId="58" fillId="0" borderId="0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" fontId="0" fillId="0" borderId="9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68" fontId="0" fillId="4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1" fontId="19" fillId="0" borderId="5" xfId="0" applyNumberFormat="1" applyFont="1" applyBorder="1" applyAlignment="1">
      <alignment/>
    </xf>
    <xf numFmtId="2" fontId="57" fillId="0" borderId="6" xfId="0" applyNumberFormat="1" applyFont="1" applyBorder="1" applyAlignment="1">
      <alignment/>
    </xf>
    <xf numFmtId="1" fontId="57" fillId="0" borderId="6" xfId="0" applyNumberFormat="1" applyFont="1" applyBorder="1" applyAlignment="1">
      <alignment/>
    </xf>
    <xf numFmtId="166" fontId="57" fillId="0" borderId="6" xfId="0" applyNumberFormat="1" applyFont="1" applyBorder="1" applyAlignment="1">
      <alignment/>
    </xf>
    <xf numFmtId="165" fontId="57" fillId="0" borderId="6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168" fontId="22" fillId="0" borderId="5" xfId="0" applyNumberFormat="1" applyFont="1" applyBorder="1" applyAlignment="1">
      <alignment/>
    </xf>
    <xf numFmtId="168" fontId="22" fillId="0" borderId="6" xfId="0" applyNumberFormat="1" applyFont="1" applyBorder="1" applyAlignment="1">
      <alignment/>
    </xf>
    <xf numFmtId="168" fontId="58" fillId="0" borderId="6" xfId="0" applyNumberFormat="1" applyFont="1" applyBorder="1" applyAlignment="1">
      <alignment/>
    </xf>
    <xf numFmtId="167" fontId="0" fillId="0" borderId="7" xfId="0" applyNumberFormat="1" applyFont="1" applyBorder="1" applyAlignment="1">
      <alignment/>
    </xf>
    <xf numFmtId="167" fontId="0" fillId="0" borderId="5" xfId="0" applyNumberFormat="1" applyFont="1" applyBorder="1" applyAlignment="1">
      <alignment/>
    </xf>
    <xf numFmtId="167" fontId="0" fillId="0" borderId="7" xfId="0" applyNumberFormat="1" applyBorder="1" applyAlignment="1">
      <alignment/>
    </xf>
    <xf numFmtId="1" fontId="19" fillId="0" borderId="9" xfId="0" applyNumberFormat="1" applyFont="1" applyBorder="1" applyAlignment="1">
      <alignment/>
    </xf>
    <xf numFmtId="168" fontId="22" fillId="0" borderId="9" xfId="0" applyNumberFormat="1" applyFont="1" applyBorder="1" applyAlignment="1">
      <alignment/>
    </xf>
    <xf numFmtId="167" fontId="0" fillId="0" borderId="9" xfId="0" applyNumberFormat="1" applyFont="1" applyBorder="1" applyAlignment="1">
      <alignment/>
    </xf>
    <xf numFmtId="167" fontId="0" fillId="0" borderId="10" xfId="0" applyNumberFormat="1" applyBorder="1" applyAlignment="1">
      <alignment/>
    </xf>
    <xf numFmtId="0" fontId="59" fillId="0" borderId="0" xfId="0" applyFont="1" applyBorder="1" applyAlignment="1">
      <alignment/>
    </xf>
    <xf numFmtId="168" fontId="0" fillId="0" borderId="9" xfId="0" applyNumberFormat="1" applyFont="1" applyBorder="1" applyAlignment="1">
      <alignment/>
    </xf>
    <xf numFmtId="0" fontId="60" fillId="0" borderId="0" xfId="0" applyFont="1" applyBorder="1" applyAlignment="1">
      <alignment/>
    </xf>
    <xf numFmtId="1" fontId="10" fillId="2" borderId="9" xfId="0" applyNumberFormat="1" applyFont="1" applyFill="1" applyBorder="1" applyAlignment="1">
      <alignment/>
    </xf>
    <xf numFmtId="2" fontId="57" fillId="2" borderId="0" xfId="0" applyNumberFormat="1" applyFont="1" applyFill="1" applyBorder="1" applyAlignment="1">
      <alignment/>
    </xf>
    <xf numFmtId="1" fontId="57" fillId="2" borderId="0" xfId="0" applyNumberFormat="1" applyFont="1" applyFill="1" applyBorder="1" applyAlignment="1">
      <alignment/>
    </xf>
    <xf numFmtId="166" fontId="57" fillId="2" borderId="0" xfId="0" applyNumberFormat="1" applyFont="1" applyFill="1" applyBorder="1" applyAlignment="1">
      <alignment/>
    </xf>
    <xf numFmtId="165" fontId="57" fillId="2" borderId="0" xfId="0" applyNumberFormat="1" applyFont="1" applyFill="1" applyBorder="1" applyAlignment="1">
      <alignment/>
    </xf>
    <xf numFmtId="2" fontId="0" fillId="2" borderId="10" xfId="0" applyNumberFormat="1" applyFont="1" applyFill="1" applyBorder="1" applyAlignment="1">
      <alignment/>
    </xf>
    <xf numFmtId="167" fontId="0" fillId="2" borderId="0" xfId="0" applyNumberFormat="1" applyFont="1" applyFill="1" applyBorder="1" applyAlignment="1">
      <alignment/>
    </xf>
    <xf numFmtId="2" fontId="0" fillId="2" borderId="0" xfId="0" applyNumberFormat="1" applyFill="1" applyBorder="1" applyAlignment="1">
      <alignment/>
    </xf>
    <xf numFmtId="167" fontId="57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169" fontId="58" fillId="2" borderId="0" xfId="0" applyNumberFormat="1" applyFont="1" applyFill="1" applyBorder="1" applyAlignment="1">
      <alignment/>
    </xf>
    <xf numFmtId="168" fontId="0" fillId="2" borderId="9" xfId="0" applyNumberFormat="1" applyFont="1" applyFill="1" applyBorder="1" applyAlignment="1">
      <alignment/>
    </xf>
    <xf numFmtId="168" fontId="58" fillId="2" borderId="0" xfId="0" applyNumberFormat="1" applyFont="1" applyFill="1" applyBorder="1" applyAlignment="1">
      <alignment/>
    </xf>
    <xf numFmtId="167" fontId="0" fillId="2" borderId="10" xfId="0" applyNumberFormat="1" applyFont="1" applyFill="1" applyBorder="1" applyAlignment="1">
      <alignment/>
    </xf>
    <xf numFmtId="167" fontId="0" fillId="2" borderId="9" xfId="0" applyNumberFormat="1" applyFont="1" applyFill="1" applyBorder="1" applyAlignment="1">
      <alignment/>
    </xf>
    <xf numFmtId="167" fontId="0" fillId="2" borderId="10" xfId="0" applyNumberFormat="1" applyFill="1" applyBorder="1" applyAlignment="1">
      <alignment/>
    </xf>
    <xf numFmtId="1" fontId="10" fillId="0" borderId="9" xfId="0" applyNumberFormat="1" applyFont="1" applyFill="1" applyBorder="1" applyAlignment="1">
      <alignment/>
    </xf>
    <xf numFmtId="2" fontId="57" fillId="0" borderId="0" xfId="0" applyNumberFormat="1" applyFont="1" applyFill="1" applyBorder="1" applyAlignment="1">
      <alignment/>
    </xf>
    <xf numFmtId="1" fontId="57" fillId="0" borderId="0" xfId="0" applyNumberFormat="1" applyFont="1" applyFill="1" applyBorder="1" applyAlignment="1">
      <alignment/>
    </xf>
    <xf numFmtId="166" fontId="57" fillId="0" borderId="0" xfId="0" applyNumberFormat="1" applyFont="1" applyFill="1" applyBorder="1" applyAlignment="1">
      <alignment/>
    </xf>
    <xf numFmtId="165" fontId="57" fillId="0" borderId="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67" fontId="57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169" fontId="58" fillId="0" borderId="9" xfId="0" applyNumberFormat="1" applyFont="1" applyFill="1" applyBorder="1" applyAlignment="1">
      <alignment/>
    </xf>
    <xf numFmtId="168" fontId="0" fillId="0" borderId="9" xfId="0" applyNumberFormat="1" applyFont="1" applyFill="1" applyBorder="1" applyAlignment="1">
      <alignment/>
    </xf>
    <xf numFmtId="168" fontId="22" fillId="0" borderId="0" xfId="0" applyNumberFormat="1" applyFont="1" applyFill="1" applyBorder="1" applyAlignment="1">
      <alignment/>
    </xf>
    <xf numFmtId="168" fontId="58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167" fontId="0" fillId="0" borderId="9" xfId="0" applyNumberFormat="1" applyFont="1" applyFill="1" applyBorder="1" applyAlignment="1">
      <alignment/>
    </xf>
    <xf numFmtId="167" fontId="0" fillId="0" borderId="10" xfId="0" applyNumberFormat="1" applyFill="1" applyBorder="1" applyAlignment="1">
      <alignment/>
    </xf>
    <xf numFmtId="0" fontId="60" fillId="0" borderId="0" xfId="0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2" fontId="57" fillId="0" borderId="13" xfId="0" applyNumberFormat="1" applyFont="1" applyBorder="1" applyAlignment="1">
      <alignment/>
    </xf>
    <xf numFmtId="1" fontId="57" fillId="0" borderId="13" xfId="0" applyNumberFormat="1" applyFont="1" applyBorder="1" applyAlignment="1">
      <alignment/>
    </xf>
    <xf numFmtId="166" fontId="57" fillId="0" borderId="13" xfId="0" applyNumberFormat="1" applyFont="1" applyBorder="1" applyAlignment="1">
      <alignment/>
    </xf>
    <xf numFmtId="165" fontId="57" fillId="0" borderId="13" xfId="0" applyNumberFormat="1" applyFont="1" applyBorder="1" applyAlignment="1">
      <alignment/>
    </xf>
    <xf numFmtId="2" fontId="0" fillId="0" borderId="14" xfId="0" applyNumberFormat="1" applyFont="1" applyFill="1" applyBorder="1" applyAlignment="1">
      <alignment/>
    </xf>
    <xf numFmtId="167" fontId="0" fillId="0" borderId="13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167" fontId="57" fillId="0" borderId="13" xfId="0" applyNumberFormat="1" applyFont="1" applyBorder="1" applyAlignment="1">
      <alignment/>
    </xf>
    <xf numFmtId="168" fontId="0" fillId="0" borderId="13" xfId="0" applyNumberFormat="1" applyFont="1" applyBorder="1" applyAlignment="1">
      <alignment/>
    </xf>
    <xf numFmtId="168" fontId="0" fillId="4" borderId="13" xfId="0" applyNumberFormat="1" applyFont="1" applyFill="1" applyBorder="1" applyAlignment="1">
      <alignment/>
    </xf>
    <xf numFmtId="167" fontId="0" fillId="0" borderId="14" xfId="0" applyNumberFormat="1" applyFont="1" applyBorder="1" applyAlignment="1">
      <alignment/>
    </xf>
    <xf numFmtId="169" fontId="58" fillId="0" borderId="12" xfId="0" applyNumberFormat="1" applyFont="1" applyBorder="1" applyAlignment="1">
      <alignment/>
    </xf>
    <xf numFmtId="168" fontId="0" fillId="0" borderId="12" xfId="0" applyNumberFormat="1" applyFont="1" applyBorder="1" applyAlignment="1">
      <alignment/>
    </xf>
    <xf numFmtId="168" fontId="22" fillId="0" borderId="13" xfId="0" applyNumberFormat="1" applyFont="1" applyBorder="1" applyAlignment="1">
      <alignment/>
    </xf>
    <xf numFmtId="168" fontId="58" fillId="0" borderId="13" xfId="0" applyNumberFormat="1" applyFont="1" applyBorder="1" applyAlignment="1">
      <alignment/>
    </xf>
    <xf numFmtId="167" fontId="0" fillId="0" borderId="12" xfId="0" applyNumberFormat="1" applyFont="1" applyBorder="1" applyAlignment="1">
      <alignment/>
    </xf>
    <xf numFmtId="167" fontId="0" fillId="0" borderId="14" xfId="0" applyNumberFormat="1" applyBorder="1" applyAlignment="1">
      <alignment/>
    </xf>
    <xf numFmtId="1" fontId="0" fillId="0" borderId="12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57" fillId="0" borderId="12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69" fontId="58" fillId="0" borderId="0" xfId="0" applyNumberFormat="1" applyFont="1" applyBorder="1" applyAlignment="1">
      <alignment/>
    </xf>
    <xf numFmtId="167" fontId="58" fillId="0" borderId="0" xfId="0" applyNumberFormat="1" applyFont="1" applyBorder="1" applyAlignment="1">
      <alignment/>
    </xf>
    <xf numFmtId="167" fontId="52" fillId="0" borderId="0" xfId="0" applyNumberFormat="1" applyFont="1" applyBorder="1" applyAlignment="1">
      <alignment horizontal="left"/>
    </xf>
    <xf numFmtId="1" fontId="52" fillId="0" borderId="0" xfId="0" applyNumberFormat="1" applyFont="1" applyBorder="1" applyAlignment="1">
      <alignment horizontal="left"/>
    </xf>
    <xf numFmtId="167" fontId="0" fillId="2" borderId="0" xfId="0" applyNumberFormat="1" applyFill="1" applyAlignment="1">
      <alignment/>
    </xf>
    <xf numFmtId="2" fontId="52" fillId="4" borderId="0" xfId="0" applyNumberFormat="1" applyFont="1" applyFill="1" applyBorder="1" applyAlignment="1">
      <alignment horizontal="left"/>
    </xf>
    <xf numFmtId="166" fontId="52" fillId="0" borderId="0" xfId="0" applyNumberFormat="1" applyFont="1" applyBorder="1" applyAlignment="1">
      <alignment horizontal="left"/>
    </xf>
    <xf numFmtId="165" fontId="52" fillId="0" borderId="0" xfId="0" applyNumberFormat="1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168" fontId="62" fillId="0" borderId="0" xfId="15" applyNumberFormat="1" applyFont="1" applyFill="1" applyBorder="1" applyAlignment="1" applyProtection="1">
      <alignment/>
      <protection/>
    </xf>
    <xf numFmtId="0" fontId="23" fillId="2" borderId="0" xfId="0" applyFont="1" applyFill="1" applyBorder="1" applyAlignment="1">
      <alignment/>
    </xf>
    <xf numFmtId="0" fontId="57" fillId="2" borderId="0" xfId="0" applyFont="1" applyFill="1" applyBorder="1" applyAlignment="1">
      <alignment/>
    </xf>
    <xf numFmtId="1" fontId="23" fillId="2" borderId="0" xfId="0" applyNumberFormat="1" applyFont="1" applyFill="1" applyBorder="1" applyAlignment="1">
      <alignment/>
    </xf>
    <xf numFmtId="166" fontId="23" fillId="2" borderId="0" xfId="0" applyNumberFormat="1" applyFont="1" applyFill="1" applyBorder="1" applyAlignment="1">
      <alignment/>
    </xf>
    <xf numFmtId="165" fontId="23" fillId="2" borderId="0" xfId="0" applyNumberFormat="1" applyFont="1" applyFill="1" applyBorder="1" applyAlignment="1">
      <alignment/>
    </xf>
    <xf numFmtId="167" fontId="23" fillId="2" borderId="0" xfId="0" applyNumberFormat="1" applyFont="1" applyFill="1" applyBorder="1" applyAlignment="1">
      <alignment/>
    </xf>
    <xf numFmtId="168" fontId="23" fillId="2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" fontId="0" fillId="2" borderId="0" xfId="0" applyNumberFormat="1" applyFill="1" applyBorder="1" applyAlignment="1">
      <alignment/>
    </xf>
    <xf numFmtId="166" fontId="22" fillId="2" borderId="0" xfId="0" applyNumberFormat="1" applyFont="1" applyFill="1" applyBorder="1" applyAlignment="1">
      <alignment/>
    </xf>
    <xf numFmtId="165" fontId="22" fillId="2" borderId="0" xfId="0" applyNumberFormat="1" applyFont="1" applyFill="1" applyBorder="1" applyAlignment="1">
      <alignment/>
    </xf>
    <xf numFmtId="168" fontId="23" fillId="2" borderId="0" xfId="0" applyNumberFormat="1" applyFont="1" applyFill="1" applyBorder="1" applyAlignment="1">
      <alignment horizontal="right"/>
    </xf>
    <xf numFmtId="2" fontId="23" fillId="0" borderId="0" xfId="0" applyNumberFormat="1" applyFont="1" applyBorder="1" applyAlignment="1" applyProtection="1">
      <alignment horizontal="left"/>
      <protection locked="0"/>
    </xf>
    <xf numFmtId="167" fontId="22" fillId="0" borderId="0" xfId="0" applyNumberFormat="1" applyFont="1" applyBorder="1" applyAlignment="1">
      <alignment horizontal="center"/>
    </xf>
    <xf numFmtId="168" fontId="22" fillId="0" borderId="0" xfId="0" applyNumberFormat="1" applyFont="1" applyBorder="1" applyAlignment="1">
      <alignment horizontal="center"/>
    </xf>
    <xf numFmtId="167" fontId="22" fillId="0" borderId="3" xfId="0" applyNumberFormat="1" applyFont="1" applyBorder="1" applyAlignment="1">
      <alignment horizontal="center"/>
    </xf>
    <xf numFmtId="0" fontId="22" fillId="0" borderId="0" xfId="0" applyFont="1" applyAlignment="1">
      <alignment/>
    </xf>
    <xf numFmtId="2" fontId="58" fillId="0" borderId="0" xfId="0" applyNumberFormat="1" applyFont="1" applyFill="1" applyBorder="1" applyAlignment="1">
      <alignment horizontal="center"/>
    </xf>
    <xf numFmtId="167" fontId="1" fillId="0" borderId="6" xfId="0" applyNumberFormat="1" applyFont="1" applyBorder="1" applyAlignment="1">
      <alignment horizontal="center"/>
    </xf>
    <xf numFmtId="169" fontId="22" fillId="0" borderId="6" xfId="0" applyNumberFormat="1" applyFont="1" applyBorder="1" applyAlignment="1">
      <alignment horizontal="center"/>
    </xf>
    <xf numFmtId="169" fontId="52" fillId="0" borderId="6" xfId="0" applyNumberFormat="1" applyFont="1" applyBorder="1" applyAlignment="1">
      <alignment horizontal="center"/>
    </xf>
    <xf numFmtId="1" fontId="63" fillId="5" borderId="0" xfId="0" applyNumberFormat="1" applyFont="1" applyFill="1" applyBorder="1" applyAlignment="1">
      <alignment horizontal="center"/>
    </xf>
    <xf numFmtId="168" fontId="64" fillId="4" borderId="0" xfId="0" applyNumberFormat="1" applyFont="1" applyFill="1" applyBorder="1" applyAlignment="1">
      <alignment/>
    </xf>
    <xf numFmtId="169" fontId="22" fillId="0" borderId="10" xfId="0" applyNumberFormat="1" applyFont="1" applyBorder="1" applyAlignment="1">
      <alignment/>
    </xf>
    <xf numFmtId="167" fontId="0" fillId="0" borderId="10" xfId="0" applyNumberFormat="1" applyFont="1" applyBorder="1" applyAlignment="1">
      <alignment horizontal="right"/>
    </xf>
    <xf numFmtId="0" fontId="59" fillId="0" borderId="0" xfId="0" applyFont="1" applyAlignment="1">
      <alignment/>
    </xf>
    <xf numFmtId="167" fontId="57" fillId="0" borderId="5" xfId="0" applyNumberFormat="1" applyFont="1" applyBorder="1" applyAlignment="1">
      <alignment/>
    </xf>
    <xf numFmtId="167" fontId="57" fillId="0" borderId="7" xfId="0" applyNumberFormat="1" applyFont="1" applyBorder="1" applyAlignment="1">
      <alignment/>
    </xf>
    <xf numFmtId="2" fontId="58" fillId="0" borderId="0" xfId="0" applyNumberFormat="1" applyFont="1" applyFill="1" applyBorder="1" applyAlignment="1">
      <alignment/>
    </xf>
    <xf numFmtId="167" fontId="57" fillId="0" borderId="9" xfId="0" applyNumberFormat="1" applyFont="1" applyBorder="1" applyAlignment="1">
      <alignment/>
    </xf>
    <xf numFmtId="2" fontId="57" fillId="0" borderId="9" xfId="0" applyNumberFormat="1" applyFont="1" applyFill="1" applyBorder="1" applyAlignment="1">
      <alignment/>
    </xf>
    <xf numFmtId="169" fontId="22" fillId="0" borderId="10" xfId="0" applyNumberFormat="1" applyFont="1" applyFill="1" applyBorder="1" applyAlignment="1">
      <alignment/>
    </xf>
    <xf numFmtId="169" fontId="58" fillId="0" borderId="0" xfId="0" applyNumberFormat="1" applyFont="1" applyFill="1" applyBorder="1" applyAlignment="1">
      <alignment/>
    </xf>
    <xf numFmtId="1" fontId="10" fillId="0" borderId="9" xfId="0" applyNumberFormat="1" applyFont="1" applyBorder="1" applyAlignment="1">
      <alignment/>
    </xf>
    <xf numFmtId="2" fontId="57" fillId="0" borderId="13" xfId="0" applyNumberFormat="1" applyFont="1" applyFill="1" applyBorder="1" applyAlignment="1">
      <alignment/>
    </xf>
    <xf numFmtId="1" fontId="63" fillId="5" borderId="13" xfId="0" applyNumberFormat="1" applyFont="1" applyFill="1" applyBorder="1" applyAlignment="1">
      <alignment horizontal="center"/>
    </xf>
    <xf numFmtId="166" fontId="57" fillId="0" borderId="13" xfId="0" applyNumberFormat="1" applyFont="1" applyFill="1" applyBorder="1" applyAlignment="1">
      <alignment/>
    </xf>
    <xf numFmtId="165" fontId="57" fillId="0" borderId="13" xfId="0" applyNumberFormat="1" applyFont="1" applyFill="1" applyBorder="1" applyAlignment="1">
      <alignment/>
    </xf>
    <xf numFmtId="2" fontId="57" fillId="0" borderId="12" xfId="0" applyNumberFormat="1" applyFont="1" applyFill="1" applyBorder="1" applyAlignment="1">
      <alignment/>
    </xf>
    <xf numFmtId="2" fontId="0" fillId="0" borderId="13" xfId="0" applyNumberFormat="1" applyFill="1" applyBorder="1" applyAlignment="1">
      <alignment/>
    </xf>
    <xf numFmtId="167" fontId="57" fillId="0" borderId="13" xfId="0" applyNumberFormat="1" applyFont="1" applyFill="1" applyBorder="1" applyAlignment="1">
      <alignment/>
    </xf>
    <xf numFmtId="168" fontId="0" fillId="0" borderId="13" xfId="0" applyNumberFormat="1" applyFont="1" applyFill="1" applyBorder="1" applyAlignment="1">
      <alignment/>
    </xf>
    <xf numFmtId="168" fontId="64" fillId="4" borderId="13" xfId="0" applyNumberFormat="1" applyFont="1" applyFill="1" applyBorder="1" applyAlignment="1">
      <alignment/>
    </xf>
    <xf numFmtId="169" fontId="22" fillId="0" borderId="14" xfId="0" applyNumberFormat="1" applyFont="1" applyFill="1" applyBorder="1" applyAlignment="1">
      <alignment/>
    </xf>
    <xf numFmtId="169" fontId="58" fillId="0" borderId="12" xfId="0" applyNumberFormat="1" applyFont="1" applyFill="1" applyBorder="1" applyAlignment="1">
      <alignment/>
    </xf>
    <xf numFmtId="167" fontId="0" fillId="0" borderId="13" xfId="0" applyNumberFormat="1" applyFont="1" applyFill="1" applyBorder="1" applyAlignment="1">
      <alignment/>
    </xf>
    <xf numFmtId="169" fontId="58" fillId="0" borderId="13" xfId="0" applyNumberFormat="1" applyFont="1" applyFill="1" applyBorder="1" applyAlignment="1">
      <alignment/>
    </xf>
    <xf numFmtId="167" fontId="0" fillId="0" borderId="14" xfId="0" applyNumberFormat="1" applyFont="1" applyBorder="1" applyAlignment="1">
      <alignment horizontal="right"/>
    </xf>
    <xf numFmtId="167" fontId="57" fillId="0" borderId="12" xfId="0" applyNumberFormat="1" applyFont="1" applyBorder="1" applyAlignment="1">
      <alignment/>
    </xf>
    <xf numFmtId="167" fontId="57" fillId="0" borderId="14" xfId="0" applyNumberFormat="1" applyFont="1" applyFill="1" applyBorder="1" applyAlignment="1">
      <alignment/>
    </xf>
    <xf numFmtId="169" fontId="58" fillId="0" borderId="13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8" fontId="0" fillId="0" borderId="0" xfId="0" applyNumberFormat="1" applyAlignment="1">
      <alignment/>
    </xf>
    <xf numFmtId="168" fontId="22" fillId="0" borderId="0" xfId="0" applyNumberFormat="1" applyFont="1" applyAlignment="1">
      <alignment/>
    </xf>
    <xf numFmtId="0" fontId="0" fillId="0" borderId="0" xfId="0" applyFont="1" applyAlignment="1">
      <alignment/>
    </xf>
    <xf numFmtId="1" fontId="19" fillId="0" borderId="4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1" fontId="65" fillId="5" borderId="0" xfId="0" applyNumberFormat="1" applyFont="1" applyFill="1" applyBorder="1" applyAlignment="1">
      <alignment horizontal="center"/>
    </xf>
    <xf numFmtId="1" fontId="66" fillId="0" borderId="0" xfId="0" applyNumberFormat="1" applyFont="1" applyBorder="1" applyAlignment="1">
      <alignment/>
    </xf>
    <xf numFmtId="1" fontId="67" fillId="0" borderId="10" xfId="0" applyNumberFormat="1" applyFont="1" applyBorder="1" applyAlignment="1">
      <alignment/>
    </xf>
    <xf numFmtId="1" fontId="68" fillId="0" borderId="4" xfId="0" applyNumberFormat="1" applyFont="1" applyBorder="1" applyAlignment="1">
      <alignment/>
    </xf>
    <xf numFmtId="1" fontId="19" fillId="0" borderId="8" xfId="0" applyNumberFormat="1" applyFont="1" applyBorder="1" applyAlignment="1">
      <alignment/>
    </xf>
    <xf numFmtId="1" fontId="68" fillId="0" borderId="8" xfId="0" applyNumberFormat="1" applyFont="1" applyBorder="1" applyAlignment="1">
      <alignment/>
    </xf>
    <xf numFmtId="1" fontId="10" fillId="0" borderId="8" xfId="0" applyNumberFormat="1" applyFont="1" applyFill="1" applyBorder="1" applyAlignment="1">
      <alignment/>
    </xf>
    <xf numFmtId="1" fontId="67" fillId="0" borderId="10" xfId="0" applyNumberFormat="1" applyFont="1" applyFill="1" applyBorder="1" applyAlignment="1">
      <alignment/>
    </xf>
    <xf numFmtId="1" fontId="10" fillId="0" borderId="8" xfId="0" applyNumberFormat="1" applyFont="1" applyBorder="1" applyAlignment="1">
      <alignment/>
    </xf>
    <xf numFmtId="0" fontId="0" fillId="0" borderId="0" xfId="0" applyFill="1" applyBorder="1" applyAlignment="1">
      <alignment/>
    </xf>
    <xf numFmtId="1" fontId="0" fillId="0" borderId="8" xfId="0" applyNumberFormat="1" applyFont="1" applyFill="1" applyBorder="1" applyAlignment="1">
      <alignment/>
    </xf>
    <xf numFmtId="166" fontId="0" fillId="0" borderId="0" xfId="0" applyNumberFormat="1" applyBorder="1" applyAlignment="1">
      <alignment horizontal="center"/>
    </xf>
    <xf numFmtId="1" fontId="0" fillId="0" borderId="11" xfId="0" applyNumberFormat="1" applyFont="1" applyFill="1" applyBorder="1" applyAlignment="1">
      <alignment/>
    </xf>
    <xf numFmtId="2" fontId="18" fillId="0" borderId="13" xfId="0" applyNumberFormat="1" applyFont="1" applyBorder="1" applyAlignment="1">
      <alignment/>
    </xf>
    <xf numFmtId="1" fontId="65" fillId="5" borderId="13" xfId="0" applyNumberFormat="1" applyFont="1" applyFill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" fontId="66" fillId="0" borderId="13" xfId="0" applyNumberFormat="1" applyFont="1" applyBorder="1" applyAlignment="1">
      <alignment/>
    </xf>
    <xf numFmtId="165" fontId="0" fillId="0" borderId="13" xfId="0" applyNumberFormat="1" applyBorder="1" applyAlignment="1">
      <alignment/>
    </xf>
    <xf numFmtId="1" fontId="14" fillId="0" borderId="14" xfId="0" applyNumberFormat="1" applyFont="1" applyFill="1" applyBorder="1" applyAlignment="1">
      <alignment/>
    </xf>
    <xf numFmtId="1" fontId="68" fillId="0" borderId="11" xfId="0" applyNumberFormat="1" applyFont="1" applyBorder="1" applyAlignment="1">
      <alignment/>
    </xf>
    <xf numFmtId="1" fontId="0" fillId="0" borderId="0" xfId="0" applyNumberFormat="1" applyAlignment="1">
      <alignment/>
    </xf>
    <xf numFmtId="0" fontId="71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6" borderId="1" xfId="0" applyFont="1" applyFill="1" applyBorder="1" applyAlignment="1">
      <alignment horizontal="center"/>
    </xf>
    <xf numFmtId="0" fontId="0" fillId="6" borderId="15" xfId="0" applyFill="1" applyBorder="1" applyAlignment="1">
      <alignment/>
    </xf>
    <xf numFmtId="0" fontId="2" fillId="6" borderId="2" xfId="0" applyFont="1" applyFill="1" applyBorder="1" applyAlignment="1">
      <alignment horizontal="center"/>
    </xf>
    <xf numFmtId="0" fontId="0" fillId="6" borderId="3" xfId="0" applyFill="1" applyBorder="1" applyAlignment="1">
      <alignment/>
    </xf>
    <xf numFmtId="0" fontId="0" fillId="0" borderId="15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0" fillId="6" borderId="7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64" fillId="0" borderId="0" xfId="0" applyFont="1" applyAlignment="1">
      <alignment/>
    </xf>
    <xf numFmtId="167" fontId="14" fillId="7" borderId="5" xfId="0" applyNumberFormat="1" applyFont="1" applyFill="1" applyBorder="1" applyAlignment="1">
      <alignment/>
    </xf>
    <xf numFmtId="2" fontId="64" fillId="6" borderId="4" xfId="0" applyNumberFormat="1" applyFont="1" applyFill="1" applyBorder="1" applyAlignment="1">
      <alignment/>
    </xf>
    <xf numFmtId="2" fontId="65" fillId="8" borderId="7" xfId="0" applyNumberFormat="1" applyFont="1" applyFill="1" applyBorder="1" applyAlignment="1">
      <alignment/>
    </xf>
    <xf numFmtId="2" fontId="0" fillId="6" borderId="4" xfId="0" applyNumberFormat="1" applyFont="1" applyFill="1" applyBorder="1" applyAlignment="1">
      <alignment/>
    </xf>
    <xf numFmtId="165" fontId="0" fillId="6" borderId="8" xfId="0" applyNumberFormat="1" applyFill="1" applyBorder="1" applyAlignment="1">
      <alignment/>
    </xf>
    <xf numFmtId="0" fontId="14" fillId="6" borderId="7" xfId="0" applyFont="1" applyFill="1" applyBorder="1" applyAlignment="1">
      <alignment/>
    </xf>
    <xf numFmtId="167" fontId="14" fillId="7" borderId="9" xfId="0" applyNumberFormat="1" applyFont="1" applyFill="1" applyBorder="1" applyAlignment="1">
      <alignment/>
    </xf>
    <xf numFmtId="2" fontId="64" fillId="6" borderId="8" xfId="0" applyNumberFormat="1" applyFont="1" applyFill="1" applyBorder="1" applyAlignment="1">
      <alignment/>
    </xf>
    <xf numFmtId="2" fontId="65" fillId="8" borderId="10" xfId="0" applyNumberFormat="1" applyFont="1" applyFill="1" applyBorder="1" applyAlignment="1">
      <alignment/>
    </xf>
    <xf numFmtId="2" fontId="0" fillId="6" borderId="8" xfId="0" applyNumberFormat="1" applyFont="1" applyFill="1" applyBorder="1" applyAlignment="1">
      <alignment/>
    </xf>
    <xf numFmtId="0" fontId="14" fillId="6" borderId="10" xfId="0" applyFont="1" applyFill="1" applyBorder="1" applyAlignment="1">
      <alignment/>
    </xf>
    <xf numFmtId="2" fontId="17" fillId="6" borderId="8" xfId="0" applyNumberFormat="1" applyFont="1" applyFill="1" applyBorder="1" applyAlignment="1">
      <alignment/>
    </xf>
    <xf numFmtId="165" fontId="17" fillId="6" borderId="8" xfId="0" applyNumberFormat="1" applyFont="1" applyFill="1" applyBorder="1" applyAlignment="1">
      <alignment/>
    </xf>
    <xf numFmtId="167" fontId="14" fillId="7" borderId="12" xfId="0" applyNumberFormat="1" applyFont="1" applyFill="1" applyBorder="1" applyAlignment="1">
      <alignment/>
    </xf>
    <xf numFmtId="2" fontId="64" fillId="6" borderId="11" xfId="0" applyNumberFormat="1" applyFont="1" applyFill="1" applyBorder="1" applyAlignment="1">
      <alignment/>
    </xf>
    <xf numFmtId="2" fontId="65" fillId="8" borderId="14" xfId="0" applyNumberFormat="1" applyFont="1" applyFill="1" applyBorder="1" applyAlignment="1">
      <alignment/>
    </xf>
    <xf numFmtId="2" fontId="17" fillId="6" borderId="11" xfId="0" applyNumberFormat="1" applyFont="1" applyFill="1" applyBorder="1" applyAlignment="1">
      <alignment/>
    </xf>
    <xf numFmtId="165" fontId="17" fillId="6" borderId="11" xfId="0" applyNumberFormat="1" applyFont="1" applyFill="1" applyBorder="1" applyAlignment="1">
      <alignment/>
    </xf>
    <xf numFmtId="0" fontId="14" fillId="6" borderId="14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167" fontId="3" fillId="0" borderId="15" xfId="0" applyNumberFormat="1" applyFont="1" applyBorder="1" applyAlignment="1">
      <alignment horizontal="center"/>
    </xf>
    <xf numFmtId="167" fontId="2" fillId="0" borderId="15" xfId="0" applyNumberFormat="1" applyFont="1" applyFill="1" applyBorder="1" applyAlignment="1">
      <alignment horizontal="center"/>
    </xf>
    <xf numFmtId="167" fontId="3" fillId="0" borderId="2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74" fillId="9" borderId="19" xfId="0" applyFont="1" applyFill="1" applyBorder="1" applyAlignment="1">
      <alignment/>
    </xf>
    <xf numFmtId="2" fontId="0" fillId="9" borderId="20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2" fontId="65" fillId="10" borderId="5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2" fontId="75" fillId="0" borderId="5" xfId="0" applyNumberFormat="1" applyFont="1" applyBorder="1" applyAlignment="1">
      <alignment horizontal="center"/>
    </xf>
    <xf numFmtId="164" fontId="64" fillId="9" borderId="5" xfId="0" applyNumberFormat="1" applyFont="1" applyFill="1" applyBorder="1" applyAlignment="1">
      <alignment horizontal="center"/>
    </xf>
    <xf numFmtId="2" fontId="0" fillId="9" borderId="6" xfId="0" applyNumberFormat="1" applyFill="1" applyBorder="1" applyAlignment="1">
      <alignment horizontal="center"/>
    </xf>
    <xf numFmtId="1" fontId="0" fillId="9" borderId="6" xfId="0" applyNumberFormat="1" applyFill="1" applyBorder="1" applyAlignment="1">
      <alignment horizontal="center"/>
    </xf>
    <xf numFmtId="2" fontId="0" fillId="9" borderId="21" xfId="0" applyNumberFormat="1" applyFill="1" applyBorder="1" applyAlignment="1">
      <alignment horizontal="center"/>
    </xf>
    <xf numFmtId="2" fontId="0" fillId="9" borderId="22" xfId="0" applyNumberFormat="1" applyFill="1" applyBorder="1" applyAlignment="1">
      <alignment horizontal="center"/>
    </xf>
    <xf numFmtId="2" fontId="14" fillId="0" borderId="4" xfId="0" applyNumberFormat="1" applyFont="1" applyBorder="1" applyAlignment="1">
      <alignment horizontal="center"/>
    </xf>
    <xf numFmtId="2" fontId="0" fillId="9" borderId="23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2" fontId="65" fillId="10" borderId="9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75" fillId="0" borderId="9" xfId="0" applyNumberFormat="1" applyFont="1" applyBorder="1" applyAlignment="1">
      <alignment horizontal="center"/>
    </xf>
    <xf numFmtId="164" fontId="64" fillId="9" borderId="9" xfId="0" applyNumberFormat="1" applyFont="1" applyFill="1" applyBorder="1" applyAlignment="1">
      <alignment horizontal="center"/>
    </xf>
    <xf numFmtId="2" fontId="0" fillId="9" borderId="0" xfId="0" applyNumberFormat="1" applyFill="1" applyBorder="1" applyAlignment="1">
      <alignment horizontal="center"/>
    </xf>
    <xf numFmtId="1" fontId="0" fillId="9" borderId="0" xfId="0" applyNumberFormat="1" applyFill="1" applyBorder="1" applyAlignment="1">
      <alignment horizontal="center"/>
    </xf>
    <xf numFmtId="2" fontId="0" fillId="9" borderId="24" xfId="0" applyNumberFormat="1" applyFill="1" applyBorder="1" applyAlignment="1">
      <alignment horizontal="center"/>
    </xf>
    <xf numFmtId="2" fontId="0" fillId="9" borderId="25" xfId="0" applyNumberFormat="1" applyFill="1" applyBorder="1" applyAlignment="1">
      <alignment horizontal="center"/>
    </xf>
    <xf numFmtId="2" fontId="14" fillId="0" borderId="8" xfId="0" applyNumberFormat="1" applyFont="1" applyBorder="1" applyAlignment="1">
      <alignment horizontal="center"/>
    </xf>
    <xf numFmtId="0" fontId="74" fillId="11" borderId="19" xfId="0" applyFont="1" applyFill="1" applyBorder="1" applyAlignment="1">
      <alignment/>
    </xf>
    <xf numFmtId="2" fontId="0" fillId="11" borderId="23" xfId="0" applyNumberFormat="1" applyFill="1" applyBorder="1" applyAlignment="1">
      <alignment horizontal="center"/>
    </xf>
    <xf numFmtId="164" fontId="64" fillId="11" borderId="9" xfId="0" applyNumberFormat="1" applyFont="1" applyFill="1" applyBorder="1" applyAlignment="1">
      <alignment horizontal="center"/>
    </xf>
    <xf numFmtId="2" fontId="0" fillId="11" borderId="0" xfId="0" applyNumberFormat="1" applyFill="1" applyBorder="1" applyAlignment="1">
      <alignment horizontal="center"/>
    </xf>
    <xf numFmtId="1" fontId="0" fillId="11" borderId="0" xfId="0" applyNumberFormat="1" applyFill="1" applyBorder="1" applyAlignment="1">
      <alignment horizontal="center"/>
    </xf>
    <xf numFmtId="2" fontId="0" fillId="11" borderId="24" xfId="0" applyNumberFormat="1" applyFill="1" applyBorder="1" applyAlignment="1">
      <alignment horizontal="center"/>
    </xf>
    <xf numFmtId="2" fontId="0" fillId="11" borderId="25" xfId="0" applyNumberFormat="1" applyFill="1" applyBorder="1" applyAlignment="1">
      <alignment horizontal="center"/>
    </xf>
    <xf numFmtId="0" fontId="74" fillId="0" borderId="19" xfId="0" applyFont="1" applyFill="1" applyBorder="1" applyAlignment="1">
      <alignment/>
    </xf>
    <xf numFmtId="2" fontId="0" fillId="0" borderId="23" xfId="0" applyNumberFormat="1" applyFill="1" applyBorder="1" applyAlignment="1">
      <alignment horizontal="center"/>
    </xf>
    <xf numFmtId="164" fontId="64" fillId="0" borderId="5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0" fontId="23" fillId="0" borderId="19" xfId="0" applyFont="1" applyFill="1" applyBorder="1" applyAlignment="1">
      <alignment/>
    </xf>
    <xf numFmtId="164" fontId="64" fillId="0" borderId="12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23" fillId="2" borderId="19" xfId="0" applyFont="1" applyFill="1" applyBorder="1" applyAlignment="1">
      <alignment/>
    </xf>
    <xf numFmtId="2" fontId="0" fillId="2" borderId="23" xfId="0" applyNumberFormat="1" applyFill="1" applyBorder="1" applyAlignment="1">
      <alignment horizontal="center"/>
    </xf>
    <xf numFmtId="164" fontId="0" fillId="2" borderId="23" xfId="0" applyNumberFormat="1" applyFill="1" applyBorder="1" applyAlignment="1">
      <alignment horizontal="center"/>
    </xf>
    <xf numFmtId="164" fontId="64" fillId="2" borderId="9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2" fontId="0" fillId="2" borderId="24" xfId="0" applyNumberFormat="1" applyFill="1" applyBorder="1" applyAlignment="1">
      <alignment horizontal="center"/>
    </xf>
    <xf numFmtId="2" fontId="0" fillId="2" borderId="25" xfId="0" applyNumberFormat="1" applyFill="1" applyBorder="1" applyAlignment="1">
      <alignment horizontal="center"/>
    </xf>
    <xf numFmtId="2" fontId="14" fillId="2" borderId="8" xfId="0" applyNumberFormat="1" applyFont="1" applyFill="1" applyBorder="1" applyAlignment="1">
      <alignment horizontal="center"/>
    </xf>
    <xf numFmtId="0" fontId="23" fillId="12" borderId="19" xfId="0" applyFont="1" applyFill="1" applyBorder="1" applyAlignment="1">
      <alignment/>
    </xf>
    <xf numFmtId="0" fontId="23" fillId="11" borderId="19" xfId="0" applyFont="1" applyFill="1" applyBorder="1" applyAlignment="1">
      <alignment/>
    </xf>
    <xf numFmtId="2" fontId="65" fillId="10" borderId="12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2" fontId="75" fillId="0" borderId="12" xfId="0" applyNumberFormat="1" applyFont="1" applyBorder="1" applyAlignment="1">
      <alignment horizontal="center"/>
    </xf>
    <xf numFmtId="164" fontId="64" fillId="11" borderId="12" xfId="0" applyNumberFormat="1" applyFont="1" applyFill="1" applyBorder="1" applyAlignment="1">
      <alignment horizontal="center"/>
    </xf>
    <xf numFmtId="2" fontId="0" fillId="11" borderId="13" xfId="0" applyNumberFormat="1" applyFill="1" applyBorder="1" applyAlignment="1">
      <alignment horizontal="center"/>
    </xf>
    <xf numFmtId="1" fontId="0" fillId="11" borderId="13" xfId="0" applyNumberFormat="1" applyFill="1" applyBorder="1" applyAlignment="1">
      <alignment horizontal="center"/>
    </xf>
    <xf numFmtId="2" fontId="0" fillId="11" borderId="26" xfId="0" applyNumberFormat="1" applyFill="1" applyBorder="1" applyAlignment="1">
      <alignment horizontal="center"/>
    </xf>
    <xf numFmtId="2" fontId="0" fillId="11" borderId="27" xfId="0" applyNumberFormat="1" applyFill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0" fontId="23" fillId="13" borderId="19" xfId="0" applyFont="1" applyFill="1" applyBorder="1" applyAlignment="1">
      <alignment/>
    </xf>
    <xf numFmtId="2" fontId="19" fillId="13" borderId="23" xfId="0" applyNumberFormat="1" applyFont="1" applyFill="1" applyBorder="1" applyAlignment="1">
      <alignment horizontal="center"/>
    </xf>
    <xf numFmtId="164" fontId="19" fillId="13" borderId="23" xfId="0" applyNumberFormat="1" applyFont="1" applyFill="1" applyBorder="1" applyAlignment="1">
      <alignment horizontal="center"/>
    </xf>
    <xf numFmtId="0" fontId="76" fillId="0" borderId="0" xfId="0" applyFont="1" applyBorder="1" applyAlignment="1">
      <alignment horizontal="left"/>
    </xf>
    <xf numFmtId="0" fontId="23" fillId="13" borderId="28" xfId="0" applyFont="1" applyFill="1" applyBorder="1" applyAlignment="1">
      <alignment/>
    </xf>
    <xf numFmtId="2" fontId="19" fillId="13" borderId="29" xfId="0" applyNumberFormat="1" applyFont="1" applyFill="1" applyBorder="1" applyAlignment="1">
      <alignment horizontal="center"/>
    </xf>
    <xf numFmtId="164" fontId="19" fillId="13" borderId="29" xfId="0" applyNumberFormat="1" applyFont="1" applyFill="1" applyBorder="1" applyAlignment="1">
      <alignment horizontal="center"/>
    </xf>
    <xf numFmtId="0" fontId="77" fillId="0" borderId="0" xfId="0" applyFont="1" applyAlignment="1">
      <alignment/>
    </xf>
    <xf numFmtId="0" fontId="31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70" fontId="31" fillId="0" borderId="0" xfId="0" applyNumberFormat="1" applyFont="1" applyAlignment="1">
      <alignment/>
    </xf>
    <xf numFmtId="0" fontId="31" fillId="0" borderId="0" xfId="0" applyFont="1" applyFill="1" applyAlignment="1">
      <alignment horizontal="center"/>
    </xf>
    <xf numFmtId="0" fontId="79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168" fontId="79" fillId="0" borderId="0" xfId="0" applyNumberFormat="1" applyFont="1" applyAlignment="1">
      <alignment/>
    </xf>
    <xf numFmtId="2" fontId="3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79" fillId="0" borderId="0" xfId="0" applyFont="1" applyAlignment="1">
      <alignment horizontal="center"/>
    </xf>
    <xf numFmtId="0" fontId="31" fillId="2" borderId="15" xfId="0" applyFont="1" applyFill="1" applyBorder="1" applyAlignment="1">
      <alignment/>
    </xf>
    <xf numFmtId="171" fontId="31" fillId="2" borderId="2" xfId="0" applyNumberFormat="1" applyFont="1" applyFill="1" applyBorder="1" applyAlignment="1">
      <alignment horizontal="center"/>
    </xf>
    <xf numFmtId="14" fontId="4" fillId="2" borderId="3" xfId="0" applyNumberFormat="1" applyFont="1" applyFill="1" applyBorder="1" applyAlignment="1">
      <alignment horizontal="center"/>
    </xf>
    <xf numFmtId="0" fontId="31" fillId="9" borderId="15" xfId="0" applyFont="1" applyFill="1" applyBorder="1" applyAlignment="1">
      <alignment horizontal="center"/>
    </xf>
    <xf numFmtId="164" fontId="31" fillId="9" borderId="17" xfId="0" applyNumberFormat="1" applyFont="1" applyFill="1" applyBorder="1" applyAlignment="1">
      <alignment horizontal="center"/>
    </xf>
    <xf numFmtId="0" fontId="4" fillId="9" borderId="17" xfId="0" applyNumberFormat="1" applyFont="1" applyFill="1" applyBorder="1" applyAlignment="1">
      <alignment horizontal="center"/>
    </xf>
    <xf numFmtId="0" fontId="31" fillId="9" borderId="30" xfId="0" applyNumberFormat="1" applyFont="1" applyFill="1" applyBorder="1" applyAlignment="1">
      <alignment horizontal="center"/>
    </xf>
    <xf numFmtId="0" fontId="31" fillId="0" borderId="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164" fontId="31" fillId="2" borderId="6" xfId="0" applyNumberFormat="1" applyFont="1" applyFill="1" applyBorder="1" applyAlignment="1">
      <alignment/>
    </xf>
    <xf numFmtId="2" fontId="4" fillId="2" borderId="6" xfId="0" applyNumberFormat="1" applyFont="1" applyFill="1" applyBorder="1" applyAlignment="1">
      <alignment horizontal="center"/>
    </xf>
    <xf numFmtId="164" fontId="79" fillId="2" borderId="6" xfId="0" applyNumberFormat="1" applyFont="1" applyFill="1" applyBorder="1" applyAlignment="1">
      <alignment horizontal="center"/>
    </xf>
    <xf numFmtId="171" fontId="79" fillId="2" borderId="6" xfId="0" applyNumberFormat="1" applyFont="1" applyFill="1" applyBorder="1" applyAlignment="1">
      <alignment/>
    </xf>
    <xf numFmtId="2" fontId="31" fillId="0" borderId="15" xfId="0" applyNumberFormat="1" applyFont="1" applyBorder="1" applyAlignment="1">
      <alignment horizontal="center"/>
    </xf>
    <xf numFmtId="2" fontId="31" fillId="0" borderId="2" xfId="0" applyNumberFormat="1" applyFont="1" applyBorder="1" applyAlignment="1">
      <alignment horizontal="center"/>
    </xf>
    <xf numFmtId="1" fontId="35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79" fillId="0" borderId="4" xfId="0" applyFont="1" applyBorder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Border="1" applyAlignment="1">
      <alignment/>
    </xf>
    <xf numFmtId="2" fontId="31" fillId="0" borderId="0" xfId="0" applyNumberFormat="1" applyFont="1" applyBorder="1" applyAlignment="1">
      <alignment/>
    </xf>
    <xf numFmtId="0" fontId="31" fillId="0" borderId="31" xfId="0" applyFont="1" applyBorder="1" applyAlignment="1">
      <alignment/>
    </xf>
    <xf numFmtId="171" fontId="31" fillId="0" borderId="32" xfId="0" applyNumberFormat="1" applyFont="1" applyBorder="1" applyAlignment="1">
      <alignment horizontal="center"/>
    </xf>
    <xf numFmtId="14" fontId="31" fillId="0" borderId="33" xfId="0" applyNumberFormat="1" applyFont="1" applyBorder="1" applyAlignment="1">
      <alignment horizontal="center"/>
    </xf>
    <xf numFmtId="0" fontId="31" fillId="9" borderId="16" xfId="0" applyFont="1" applyFill="1" applyBorder="1" applyAlignment="1">
      <alignment horizontal="center"/>
    </xf>
    <xf numFmtId="170" fontId="31" fillId="9" borderId="17" xfId="0" applyNumberFormat="1" applyFont="1" applyFill="1" applyBorder="1" applyAlignment="1">
      <alignment horizontal="center"/>
    </xf>
    <xf numFmtId="0" fontId="31" fillId="9" borderId="17" xfId="0" applyNumberFormat="1" applyFont="1" applyFill="1" applyBorder="1" applyAlignment="1">
      <alignment horizontal="center"/>
    </xf>
    <xf numFmtId="0" fontId="31" fillId="0" borderId="11" xfId="0" applyNumberFormat="1" applyFont="1" applyFill="1" applyBorder="1" applyAlignment="1">
      <alignment horizontal="center"/>
    </xf>
    <xf numFmtId="168" fontId="31" fillId="6" borderId="34" xfId="0" applyNumberFormat="1" applyFont="1" applyFill="1" applyBorder="1" applyAlignment="1">
      <alignment horizontal="center"/>
    </xf>
    <xf numFmtId="168" fontId="31" fillId="6" borderId="35" xfId="0" applyNumberFormat="1" applyFont="1" applyFill="1" applyBorder="1" applyAlignment="1">
      <alignment horizontal="center"/>
    </xf>
    <xf numFmtId="164" fontId="80" fillId="6" borderId="35" xfId="0" applyNumberFormat="1" applyFont="1" applyFill="1" applyBorder="1" applyAlignment="1">
      <alignment horizontal="center"/>
    </xf>
    <xf numFmtId="2" fontId="31" fillId="6" borderId="35" xfId="0" applyNumberFormat="1" applyFont="1" applyFill="1" applyBorder="1" applyAlignment="1">
      <alignment horizontal="center"/>
    </xf>
    <xf numFmtId="171" fontId="80" fillId="0" borderId="36" xfId="0" applyNumberFormat="1" applyFont="1" applyBorder="1" applyAlignment="1">
      <alignment horizontal="center"/>
    </xf>
    <xf numFmtId="2" fontId="31" fillId="0" borderId="31" xfId="0" applyNumberFormat="1" applyFont="1" applyBorder="1" applyAlignment="1">
      <alignment horizontal="center"/>
    </xf>
    <xf numFmtId="2" fontId="31" fillId="0" borderId="37" xfId="0" applyNumberFormat="1" applyFont="1" applyBorder="1" applyAlignment="1">
      <alignment horizontal="center"/>
    </xf>
    <xf numFmtId="1" fontId="35" fillId="0" borderId="32" xfId="0" applyNumberFormat="1" applyFont="1" applyBorder="1" applyAlignment="1">
      <alignment horizontal="center"/>
    </xf>
    <xf numFmtId="164" fontId="35" fillId="0" borderId="38" xfId="0" applyNumberFormat="1" applyFont="1" applyBorder="1" applyAlignment="1">
      <alignment horizontal="center"/>
    </xf>
    <xf numFmtId="172" fontId="80" fillId="0" borderId="11" xfId="0" applyNumberFormat="1" applyFont="1" applyBorder="1" applyAlignment="1">
      <alignment horizontal="center"/>
    </xf>
    <xf numFmtId="0" fontId="31" fillId="2" borderId="39" xfId="0" applyFont="1" applyFill="1" applyBorder="1" applyAlignment="1">
      <alignment/>
    </xf>
    <xf numFmtId="0" fontId="81" fillId="0" borderId="20" xfId="0" applyFont="1" applyBorder="1" applyAlignment="1">
      <alignment horizontal="center"/>
    </xf>
    <xf numFmtId="164" fontId="82" fillId="0" borderId="20" xfId="0" applyNumberFormat="1" applyFont="1" applyBorder="1" applyAlignment="1">
      <alignment horizontal="center"/>
    </xf>
    <xf numFmtId="14" fontId="4" fillId="0" borderId="40" xfId="0" applyNumberFormat="1" applyFont="1" applyBorder="1" applyAlignment="1">
      <alignment horizontal="center"/>
    </xf>
    <xf numFmtId="164" fontId="31" fillId="9" borderId="39" xfId="0" applyNumberFormat="1" applyFont="1" applyFill="1" applyBorder="1" applyAlignment="1">
      <alignment horizontal="center"/>
    </xf>
    <xf numFmtId="170" fontId="31" fillId="9" borderId="20" xfId="0" applyNumberFormat="1" applyFont="1" applyFill="1" applyBorder="1" applyAlignment="1">
      <alignment horizontal="center"/>
    </xf>
    <xf numFmtId="0" fontId="4" fillId="9" borderId="20" xfId="0" applyNumberFormat="1" applyFont="1" applyFill="1" applyBorder="1" applyAlignment="1">
      <alignment horizontal="center"/>
    </xf>
    <xf numFmtId="0" fontId="4" fillId="9" borderId="41" xfId="0" applyNumberFormat="1" applyFont="1" applyFill="1" applyBorder="1" applyAlignment="1">
      <alignment horizontal="center"/>
    </xf>
    <xf numFmtId="0" fontId="31" fillId="0" borderId="42" xfId="0" applyNumberFormat="1" applyFont="1" applyFill="1" applyBorder="1" applyAlignment="1">
      <alignment horizontal="center"/>
    </xf>
    <xf numFmtId="164" fontId="79" fillId="0" borderId="24" xfId="0" applyNumberFormat="1" applyFont="1" applyBorder="1" applyAlignment="1">
      <alignment/>
    </xf>
    <xf numFmtId="168" fontId="4" fillId="0" borderId="43" xfId="0" applyNumberFormat="1" applyFont="1" applyBorder="1" applyAlignment="1">
      <alignment horizontal="center"/>
    </xf>
    <xf numFmtId="164" fontId="80" fillId="0" borderId="43" xfId="0" applyNumberFormat="1" applyFont="1" applyBorder="1" applyAlignment="1">
      <alignment horizontal="center"/>
    </xf>
    <xf numFmtId="2" fontId="31" fillId="0" borderId="43" xfId="0" applyNumberFormat="1" applyFont="1" applyBorder="1" applyAlignment="1">
      <alignment horizontal="center"/>
    </xf>
    <xf numFmtId="164" fontId="81" fillId="0" borderId="43" xfId="0" applyNumberFormat="1" applyFont="1" applyBorder="1" applyAlignment="1">
      <alignment horizontal="center"/>
    </xf>
    <xf numFmtId="171" fontId="79" fillId="0" borderId="22" xfId="0" applyNumberFormat="1" applyFont="1" applyBorder="1" applyAlignment="1">
      <alignment/>
    </xf>
    <xf numFmtId="2" fontId="35" fillId="0" borderId="44" xfId="0" applyNumberFormat="1" applyFont="1" applyBorder="1" applyAlignment="1">
      <alignment horizontal="center"/>
    </xf>
    <xf numFmtId="1" fontId="35" fillId="0" borderId="20" xfId="0" applyNumberFormat="1" applyFont="1" applyBorder="1" applyAlignment="1">
      <alignment horizontal="center"/>
    </xf>
    <xf numFmtId="164" fontId="35" fillId="0" borderId="41" xfId="0" applyNumberFormat="1" applyFont="1" applyBorder="1" applyAlignment="1">
      <alignment horizontal="center"/>
    </xf>
    <xf numFmtId="0" fontId="79" fillId="0" borderId="4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14" fontId="31" fillId="0" borderId="17" xfId="0" applyNumberFormat="1" applyFont="1" applyBorder="1" applyAlignment="1">
      <alignment horizontal="center"/>
    </xf>
    <xf numFmtId="2" fontId="31" fillId="0" borderId="18" xfId="0" applyNumberFormat="1" applyFont="1" applyBorder="1" applyAlignment="1">
      <alignment horizontal="center"/>
    </xf>
    <xf numFmtId="2" fontId="31" fillId="0" borderId="3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4" fillId="0" borderId="24" xfId="0" applyFont="1" applyBorder="1" applyAlignment="1">
      <alignment/>
    </xf>
    <xf numFmtId="0" fontId="31" fillId="0" borderId="23" xfId="0" applyFont="1" applyBorder="1" applyAlignment="1">
      <alignment horizontal="center"/>
    </xf>
    <xf numFmtId="164" fontId="82" fillId="0" borderId="23" xfId="0" applyNumberFormat="1" applyFont="1" applyBorder="1" applyAlignment="1">
      <alignment horizontal="center"/>
    </xf>
    <xf numFmtId="14" fontId="4" fillId="0" borderId="46" xfId="0" applyNumberFormat="1" applyFont="1" applyBorder="1" applyAlignment="1">
      <alignment horizontal="center"/>
    </xf>
    <xf numFmtId="168" fontId="31" fillId="9" borderId="24" xfId="0" applyNumberFormat="1" applyFont="1" applyFill="1" applyBorder="1" applyAlignment="1">
      <alignment horizontal="center"/>
    </xf>
    <xf numFmtId="170" fontId="31" fillId="9" borderId="23" xfId="0" applyNumberFormat="1" applyFont="1" applyFill="1" applyBorder="1" applyAlignment="1">
      <alignment horizontal="center"/>
    </xf>
    <xf numFmtId="0" fontId="4" fillId="9" borderId="23" xfId="0" applyFont="1" applyFill="1" applyBorder="1" applyAlignment="1">
      <alignment/>
    </xf>
    <xf numFmtId="0" fontId="4" fillId="9" borderId="25" xfId="0" applyFont="1" applyFill="1" applyBorder="1" applyAlignment="1">
      <alignment horizontal="center"/>
    </xf>
    <xf numFmtId="0" fontId="31" fillId="0" borderId="42" xfId="0" applyFont="1" applyFill="1" applyBorder="1" applyAlignment="1">
      <alignment horizontal="center"/>
    </xf>
    <xf numFmtId="168" fontId="4" fillId="0" borderId="23" xfId="0" applyNumberFormat="1" applyFont="1" applyFill="1" applyBorder="1" applyAlignment="1">
      <alignment horizontal="center"/>
    </xf>
    <xf numFmtId="164" fontId="80" fillId="0" borderId="23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164" fontId="79" fillId="0" borderId="23" xfId="0" applyNumberFormat="1" applyFont="1" applyBorder="1" applyAlignment="1">
      <alignment horizontal="center"/>
    </xf>
    <xf numFmtId="171" fontId="79" fillId="0" borderId="25" xfId="0" applyNumberFormat="1" applyFont="1" applyBorder="1" applyAlignment="1">
      <alignment horizontal="center"/>
    </xf>
    <xf numFmtId="2" fontId="31" fillId="0" borderId="47" xfId="0" applyNumberFormat="1" applyFont="1" applyBorder="1" applyAlignment="1">
      <alignment horizontal="center"/>
    </xf>
    <xf numFmtId="1" fontId="35" fillId="0" borderId="23" xfId="0" applyNumberFormat="1" applyFont="1" applyBorder="1" applyAlignment="1">
      <alignment horizontal="center"/>
    </xf>
    <xf numFmtId="164" fontId="35" fillId="0" borderId="25" xfId="0" applyNumberFormat="1" applyFont="1" applyBorder="1" applyAlignment="1">
      <alignment horizontal="center"/>
    </xf>
    <xf numFmtId="173" fontId="79" fillId="0" borderId="19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" fontId="4" fillId="0" borderId="46" xfId="0" applyNumberFormat="1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43" xfId="0" applyFont="1" applyBorder="1" applyAlignment="1">
      <alignment horizontal="center"/>
    </xf>
    <xf numFmtId="2" fontId="27" fillId="0" borderId="2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/>
    </xf>
    <xf numFmtId="164" fontId="31" fillId="0" borderId="23" xfId="0" applyNumberFormat="1" applyFont="1" applyBorder="1" applyAlignment="1">
      <alignment horizontal="center"/>
    </xf>
    <xf numFmtId="0" fontId="31" fillId="9" borderId="24" xfId="0" applyFont="1" applyFill="1" applyBorder="1" applyAlignment="1">
      <alignment horizontal="center"/>
    </xf>
    <xf numFmtId="170" fontId="31" fillId="9" borderId="23" xfId="0" applyNumberFormat="1" applyFont="1" applyFill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2" fontId="27" fillId="0" borderId="25" xfId="0" applyNumberFormat="1" applyFont="1" applyBorder="1" applyAlignment="1">
      <alignment horizontal="center"/>
    </xf>
    <xf numFmtId="0" fontId="82" fillId="0" borderId="42" xfId="0" applyFont="1" applyFill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0" fontId="82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2" fontId="4" fillId="0" borderId="48" xfId="0" applyNumberFormat="1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/>
    </xf>
    <xf numFmtId="0" fontId="4" fillId="0" borderId="49" xfId="0" applyFont="1" applyBorder="1" applyAlignment="1">
      <alignment/>
    </xf>
    <xf numFmtId="0" fontId="82" fillId="0" borderId="50" xfId="0" applyFont="1" applyBorder="1" applyAlignment="1">
      <alignment horizontal="center"/>
    </xf>
    <xf numFmtId="164" fontId="82" fillId="0" borderId="50" xfId="0" applyNumberFormat="1" applyFont="1" applyBorder="1" applyAlignment="1">
      <alignment horizontal="center"/>
    </xf>
    <xf numFmtId="14" fontId="4" fillId="0" borderId="51" xfId="0" applyNumberFormat="1" applyFont="1" applyBorder="1" applyAlignment="1">
      <alignment horizontal="center"/>
    </xf>
    <xf numFmtId="0" fontId="31" fillId="9" borderId="26" xfId="0" applyFont="1" applyFill="1" applyBorder="1" applyAlignment="1">
      <alignment horizontal="center"/>
    </xf>
    <xf numFmtId="170" fontId="31" fillId="9" borderId="29" xfId="0" applyNumberFormat="1" applyFont="1" applyFill="1" applyBorder="1" applyAlignment="1">
      <alignment/>
    </xf>
    <xf numFmtId="0" fontId="4" fillId="9" borderId="29" xfId="0" applyFont="1" applyFill="1" applyBorder="1" applyAlignment="1">
      <alignment/>
    </xf>
    <xf numFmtId="0" fontId="4" fillId="9" borderId="27" xfId="0" applyFont="1" applyFill="1" applyBorder="1" applyAlignment="1">
      <alignment horizontal="center"/>
    </xf>
    <xf numFmtId="0" fontId="31" fillId="0" borderId="52" xfId="0" applyFont="1" applyFill="1" applyBorder="1" applyAlignment="1">
      <alignment horizontal="center"/>
    </xf>
    <xf numFmtId="164" fontId="79" fillId="0" borderId="49" xfId="0" applyNumberFormat="1" applyFont="1" applyBorder="1" applyAlignment="1">
      <alignment/>
    </xf>
    <xf numFmtId="0" fontId="4" fillId="0" borderId="50" xfId="0" applyFont="1" applyBorder="1" applyAlignment="1">
      <alignment horizontal="center"/>
    </xf>
    <xf numFmtId="164" fontId="80" fillId="0" borderId="50" xfId="0" applyNumberFormat="1" applyFont="1" applyBorder="1" applyAlignment="1">
      <alignment horizontal="center"/>
    </xf>
    <xf numFmtId="2" fontId="31" fillId="0" borderId="29" xfId="0" applyNumberFormat="1" applyFont="1" applyBorder="1" applyAlignment="1">
      <alignment horizontal="center"/>
    </xf>
    <xf numFmtId="164" fontId="79" fillId="0" borderId="29" xfId="0" applyNumberFormat="1" applyFont="1" applyBorder="1" applyAlignment="1">
      <alignment horizontal="center"/>
    </xf>
    <xf numFmtId="171" fontId="79" fillId="0" borderId="27" xfId="0" applyNumberFormat="1" applyFont="1" applyBorder="1" applyAlignment="1">
      <alignment horizontal="center"/>
    </xf>
    <xf numFmtId="2" fontId="31" fillId="0" borderId="53" xfId="0" applyNumberFormat="1" applyFont="1" applyBorder="1" applyAlignment="1">
      <alignment horizontal="center"/>
    </xf>
    <xf numFmtId="173" fontId="79" fillId="0" borderId="54" xfId="0" applyNumberFormat="1" applyFont="1" applyBorder="1" applyAlignment="1">
      <alignment horizontal="center"/>
    </xf>
    <xf numFmtId="0" fontId="83" fillId="0" borderId="16" xfId="0" applyFont="1" applyBorder="1" applyAlignment="1">
      <alignment horizontal="right"/>
    </xf>
    <xf numFmtId="171" fontId="31" fillId="0" borderId="17" xfId="0" applyNumberFormat="1" applyFont="1" applyBorder="1" applyAlignment="1">
      <alignment horizontal="center"/>
    </xf>
    <xf numFmtId="14" fontId="4" fillId="0" borderId="18" xfId="0" applyNumberFormat="1" applyFont="1" applyBorder="1" applyAlignment="1">
      <alignment horizontal="center"/>
    </xf>
    <xf numFmtId="3" fontId="31" fillId="9" borderId="16" xfId="0" applyNumberFormat="1" applyFont="1" applyFill="1" applyBorder="1" applyAlignment="1">
      <alignment horizontal="center"/>
    </xf>
    <xf numFmtId="0" fontId="4" fillId="9" borderId="30" xfId="0" applyNumberFormat="1" applyFont="1" applyFill="1" applyBorder="1" applyAlignment="1">
      <alignment horizontal="center"/>
    </xf>
    <xf numFmtId="0" fontId="31" fillId="0" borderId="2" xfId="0" applyNumberFormat="1" applyFont="1" applyFill="1" applyBorder="1" applyAlignment="1">
      <alignment horizontal="center"/>
    </xf>
    <xf numFmtId="168" fontId="4" fillId="0" borderId="15" xfId="0" applyNumberFormat="1" applyFont="1" applyBorder="1" applyAlignment="1">
      <alignment horizontal="center"/>
    </xf>
    <xf numFmtId="168" fontId="84" fillId="0" borderId="2" xfId="0" applyNumberFormat="1" applyFont="1" applyBorder="1" applyAlignment="1">
      <alignment horizontal="center"/>
    </xf>
    <xf numFmtId="164" fontId="84" fillId="0" borderId="3" xfId="0" applyNumberFormat="1" applyFont="1" applyBorder="1" applyAlignment="1">
      <alignment horizontal="center"/>
    </xf>
    <xf numFmtId="2" fontId="4" fillId="0" borderId="37" xfId="0" applyNumberFormat="1" applyFont="1" applyBorder="1" applyAlignment="1">
      <alignment horizontal="center"/>
    </xf>
    <xf numFmtId="164" fontId="80" fillId="0" borderId="32" xfId="0" applyNumberFormat="1" applyFont="1" applyBorder="1" applyAlignment="1">
      <alignment horizontal="center"/>
    </xf>
    <xf numFmtId="171" fontId="79" fillId="0" borderId="32" xfId="0" applyNumberFormat="1" applyFont="1" applyBorder="1" applyAlignment="1">
      <alignment/>
    </xf>
    <xf numFmtId="2" fontId="31" fillId="0" borderId="17" xfId="0" applyNumberFormat="1" applyFont="1" applyBorder="1" applyAlignment="1">
      <alignment horizontal="center"/>
    </xf>
    <xf numFmtId="1" fontId="31" fillId="0" borderId="17" xfId="0" applyNumberFormat="1" applyFont="1" applyBorder="1" applyAlignment="1">
      <alignment horizontal="center"/>
    </xf>
    <xf numFmtId="164" fontId="80" fillId="0" borderId="17" xfId="0" applyNumberFormat="1" applyFont="1" applyBorder="1" applyAlignment="1">
      <alignment horizontal="right"/>
    </xf>
    <xf numFmtId="173" fontId="80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164" fontId="79" fillId="0" borderId="0" xfId="0" applyNumberFormat="1" applyFont="1" applyAlignment="1">
      <alignment/>
    </xf>
    <xf numFmtId="171" fontId="79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0" fontId="85" fillId="0" borderId="0" xfId="0" applyFont="1" applyAlignment="1">
      <alignment/>
    </xf>
    <xf numFmtId="174" fontId="84" fillId="0" borderId="0" xfId="0" applyNumberFormat="1" applyFont="1" applyAlignment="1">
      <alignment horizontal="center"/>
    </xf>
    <xf numFmtId="0" fontId="84" fillId="0" borderId="0" xfId="0" applyFont="1" applyAlignment="1">
      <alignment/>
    </xf>
    <xf numFmtId="14" fontId="85" fillId="0" borderId="0" xfId="0" applyNumberFormat="1" applyFont="1" applyAlignment="1">
      <alignment horizontal="right"/>
    </xf>
    <xf numFmtId="175" fontId="84" fillId="0" borderId="0" xfId="0" applyNumberFormat="1" applyFont="1" applyAlignment="1">
      <alignment horizontal="center"/>
    </xf>
    <xf numFmtId="170" fontId="84" fillId="0" borderId="0" xfId="0" applyNumberFormat="1" applyFont="1" applyAlignment="1">
      <alignment/>
    </xf>
    <xf numFmtId="0" fontId="85" fillId="0" borderId="0" xfId="0" applyFont="1" applyAlignment="1">
      <alignment horizontal="right"/>
    </xf>
    <xf numFmtId="167" fontId="84" fillId="0" borderId="0" xfId="0" applyNumberFormat="1" applyFont="1" applyFill="1" applyAlignment="1">
      <alignment horizontal="center"/>
    </xf>
    <xf numFmtId="0" fontId="85" fillId="0" borderId="0" xfId="0" applyFont="1" applyAlignment="1">
      <alignment horizontal="center"/>
    </xf>
    <xf numFmtId="164" fontId="85" fillId="0" borderId="0" xfId="0" applyNumberFormat="1" applyFont="1" applyAlignment="1">
      <alignment/>
    </xf>
    <xf numFmtId="2" fontId="85" fillId="0" borderId="0" xfId="0" applyNumberFormat="1" applyFont="1" applyAlignment="1">
      <alignment horizontal="center"/>
    </xf>
    <xf numFmtId="171" fontId="85" fillId="0" borderId="0" xfId="0" applyNumberFormat="1" applyFont="1" applyAlignment="1">
      <alignment/>
    </xf>
    <xf numFmtId="2" fontId="84" fillId="0" borderId="0" xfId="0" applyNumberFormat="1" applyFont="1" applyAlignment="1">
      <alignment horizontal="center"/>
    </xf>
    <xf numFmtId="1" fontId="85" fillId="0" borderId="0" xfId="0" applyNumberFormat="1" applyFont="1" applyAlignment="1">
      <alignment horizontal="center"/>
    </xf>
    <xf numFmtId="164" fontId="85" fillId="0" borderId="0" xfId="0" applyNumberFormat="1" applyFont="1" applyAlignment="1">
      <alignment horizontal="center"/>
    </xf>
    <xf numFmtId="2" fontId="85" fillId="0" borderId="0" xfId="0" applyNumberFormat="1" applyFont="1" applyAlignment="1">
      <alignment/>
    </xf>
    <xf numFmtId="0" fontId="31" fillId="9" borderId="2" xfId="0" applyFont="1" applyFill="1" applyBorder="1" applyAlignment="1">
      <alignment horizontal="center"/>
    </xf>
    <xf numFmtId="164" fontId="31" fillId="9" borderId="2" xfId="0" applyNumberFormat="1" applyFont="1" applyFill="1" applyBorder="1" applyAlignment="1">
      <alignment horizontal="center"/>
    </xf>
    <xf numFmtId="0" fontId="4" fillId="9" borderId="2" xfId="0" applyNumberFormat="1" applyFont="1" applyFill="1" applyBorder="1" applyAlignment="1">
      <alignment horizontal="center"/>
    </xf>
    <xf numFmtId="0" fontId="31" fillId="9" borderId="3" xfId="0" applyNumberFormat="1" applyFont="1" applyFill="1" applyBorder="1" applyAlignment="1">
      <alignment horizontal="center"/>
    </xf>
    <xf numFmtId="0" fontId="31" fillId="0" borderId="7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164" fontId="4" fillId="0" borderId="3" xfId="0" applyNumberFormat="1" applyFont="1" applyBorder="1" applyAlignment="1">
      <alignment horizontal="center"/>
    </xf>
    <xf numFmtId="0" fontId="79" fillId="0" borderId="55" xfId="0" applyFont="1" applyBorder="1" applyAlignment="1">
      <alignment horizontal="center"/>
    </xf>
    <xf numFmtId="0" fontId="31" fillId="9" borderId="31" xfId="0" applyFont="1" applyFill="1" applyBorder="1" applyAlignment="1">
      <alignment horizontal="center"/>
    </xf>
    <xf numFmtId="170" fontId="31" fillId="9" borderId="32" xfId="0" applyNumberFormat="1" applyFont="1" applyFill="1" applyBorder="1" applyAlignment="1">
      <alignment horizontal="center"/>
    </xf>
    <xf numFmtId="0" fontId="31" fillId="9" borderId="32" xfId="0" applyNumberFormat="1" applyFont="1" applyFill="1" applyBorder="1" applyAlignment="1">
      <alignment horizontal="center"/>
    </xf>
    <xf numFmtId="0" fontId="31" fillId="9" borderId="38" xfId="0" applyNumberFormat="1" applyFont="1" applyFill="1" applyBorder="1" applyAlignment="1">
      <alignment horizontal="center"/>
    </xf>
    <xf numFmtId="168" fontId="31" fillId="6" borderId="56" xfId="0" applyNumberFormat="1" applyFont="1" applyFill="1" applyBorder="1" applyAlignment="1">
      <alignment horizontal="center"/>
    </xf>
    <xf numFmtId="168" fontId="31" fillId="6" borderId="17" xfId="0" applyNumberFormat="1" applyFont="1" applyFill="1" applyBorder="1" applyAlignment="1">
      <alignment horizontal="center"/>
    </xf>
    <xf numFmtId="164" fontId="80" fillId="6" borderId="17" xfId="0" applyNumberFormat="1" applyFont="1" applyFill="1" applyBorder="1" applyAlignment="1">
      <alignment horizontal="center"/>
    </xf>
    <xf numFmtId="2" fontId="31" fillId="6" borderId="17" xfId="0" applyNumberFormat="1" applyFont="1" applyFill="1" applyBorder="1" applyAlignment="1">
      <alignment horizontal="center"/>
    </xf>
    <xf numFmtId="171" fontId="80" fillId="0" borderId="18" xfId="0" applyNumberFormat="1" applyFont="1" applyBorder="1" applyAlignment="1">
      <alignment horizontal="center"/>
    </xf>
    <xf numFmtId="164" fontId="35" fillId="0" borderId="33" xfId="0" applyNumberFormat="1" applyFont="1" applyBorder="1" applyAlignment="1">
      <alignment horizontal="center"/>
    </xf>
    <xf numFmtId="172" fontId="80" fillId="0" borderId="57" xfId="0" applyNumberFormat="1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58" xfId="0" applyNumberFormat="1" applyFont="1" applyFill="1" applyBorder="1" applyAlignment="1">
      <alignment horizontal="center"/>
    </xf>
    <xf numFmtId="168" fontId="4" fillId="0" borderId="20" xfId="0" applyNumberFormat="1" applyFont="1" applyBorder="1" applyAlignment="1">
      <alignment horizontal="center"/>
    </xf>
    <xf numFmtId="164" fontId="84" fillId="0" borderId="20" xfId="0" applyNumberFormat="1" applyFont="1" applyBorder="1" applyAlignment="1">
      <alignment horizontal="center"/>
    </xf>
    <xf numFmtId="2" fontId="31" fillId="0" borderId="20" xfId="0" applyNumberFormat="1" applyFont="1" applyBorder="1" applyAlignment="1">
      <alignment horizontal="center"/>
    </xf>
    <xf numFmtId="164" fontId="81" fillId="0" borderId="23" xfId="0" applyNumberFormat="1" applyFont="1" applyBorder="1" applyAlignment="1">
      <alignment horizontal="center"/>
    </xf>
    <xf numFmtId="171" fontId="79" fillId="0" borderId="41" xfId="0" applyNumberFormat="1" applyFont="1" applyBorder="1" applyAlignment="1">
      <alignment/>
    </xf>
    <xf numFmtId="2" fontId="35" fillId="0" borderId="39" xfId="0" applyNumberFormat="1" applyFont="1" applyBorder="1" applyAlignment="1">
      <alignment horizontal="center"/>
    </xf>
    <xf numFmtId="2" fontId="31" fillId="0" borderId="24" xfId="0" applyNumberFormat="1" applyFont="1" applyBorder="1" applyAlignment="1">
      <alignment horizontal="center"/>
    </xf>
    <xf numFmtId="2" fontId="31" fillId="0" borderId="50" xfId="0" applyNumberFormat="1" applyFont="1" applyBorder="1" applyAlignment="1">
      <alignment horizontal="center"/>
    </xf>
    <xf numFmtId="171" fontId="79" fillId="0" borderId="59" xfId="0" applyNumberFormat="1" applyFont="1" applyBorder="1" applyAlignment="1">
      <alignment horizontal="center"/>
    </xf>
    <xf numFmtId="2" fontId="31" fillId="0" borderId="49" xfId="0" applyNumberFormat="1" applyFont="1" applyBorder="1" applyAlignment="1">
      <alignment horizontal="center"/>
    </xf>
    <xf numFmtId="0" fontId="31" fillId="0" borderId="3" xfId="0" applyNumberFormat="1" applyFont="1" applyFill="1" applyBorder="1" applyAlignment="1">
      <alignment horizontal="center"/>
    </xf>
    <xf numFmtId="168" fontId="4" fillId="0" borderId="16" xfId="0" applyNumberFormat="1" applyFont="1" applyBorder="1" applyAlignment="1">
      <alignment horizontal="center"/>
    </xf>
    <xf numFmtId="168" fontId="84" fillId="0" borderId="17" xfId="0" applyNumberFormat="1" applyFont="1" applyBorder="1" applyAlignment="1">
      <alignment horizontal="center"/>
    </xf>
    <xf numFmtId="164" fontId="84" fillId="0" borderId="30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164" fontId="80" fillId="0" borderId="17" xfId="0" applyNumberFormat="1" applyFont="1" applyBorder="1" applyAlignment="1">
      <alignment horizontal="center"/>
    </xf>
    <xf numFmtId="171" fontId="79" fillId="0" borderId="17" xfId="0" applyNumberFormat="1" applyFont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 % à V2 constant et V1 variable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'Helice théorie'!$C$5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'Helice théorie'!$B$6:$B$13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'Helice théorie'!$C$6:$C$13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45908084"/>
        <c:axId val="10519573"/>
      </c:lineChart>
      <c:catAx>
        <c:axId val="45908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V1 / V2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19573"/>
        <c:crosses val="autoZero"/>
        <c:auto val="1"/>
        <c:lblOffset val="100"/>
        <c:noMultiLvlLbl val="0"/>
      </c:catAx>
      <c:valAx>
        <c:axId val="10519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08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Consommation l/mn Expérience 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'Puissance et conso Exp1'!$O$4:$O$17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'Puissance et conso Exp1'!$M$4:$M$17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marker val="1"/>
        <c:axId val="40161166"/>
        <c:axId val="25906175"/>
      </c:lineChart>
      <c:catAx>
        <c:axId val="40161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06175"/>
        <c:crosses val="autoZero"/>
        <c:auto val="1"/>
        <c:lblOffset val="100"/>
        <c:noMultiLvlLbl val="0"/>
      </c:catAx>
      <c:valAx>
        <c:axId val="25906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l/mn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61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Estimé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'Feuile de calcul conso'!$U$4:$U$10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'Feuile de calcul conso'!$X$4:$X$10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1"/>
        </c:ser>
        <c:marker val="1"/>
        <c:axId val="31828984"/>
        <c:axId val="18025401"/>
      </c:lineChart>
      <c:catAx>
        <c:axId val="31828984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25401"/>
        <c:crosses val="autoZero"/>
        <c:auto val="1"/>
        <c:lblOffset val="100"/>
        <c:noMultiLvlLbl val="0"/>
      </c:catAx>
      <c:valAx>
        <c:axId val="18025401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289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Estimé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'Feuile de calcul conso'!$U$4:$U$10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'Feuile de calcul conso'!$Y$4:$Y$10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1"/>
        </c:ser>
        <c:marker val="1"/>
        <c:axId val="28010882"/>
        <c:axId val="50771347"/>
      </c:lineChart>
      <c:catAx>
        <c:axId val="28010882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71347"/>
        <c:crosses val="autoZero"/>
        <c:auto val="1"/>
        <c:lblOffset val="100"/>
        <c:noMultiLvlLbl val="0"/>
      </c:catAx>
      <c:valAx>
        <c:axId val="50771347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108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Consommation litres / mN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'Feuile de calcul conso'!$U$6:$U$9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'Feuile de calcul conso'!$Y$6:$Y$9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1"/>
        </c:ser>
        <c:marker val="1"/>
        <c:axId val="54288940"/>
        <c:axId val="18838413"/>
      </c:lineChart>
      <c:catAx>
        <c:axId val="54288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Noeuds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38413"/>
        <c:crosses val="autoZero"/>
        <c:auto val="1"/>
        <c:lblOffset val="100"/>
        <c:noMultiLvlLbl val="0"/>
      </c:catAx>
      <c:valAx>
        <c:axId val="18838413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88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Consmmation litres / heure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'Feuile de calcul conso'!$U$6:$U$9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'Feuile de calcul conso'!$X$6:$X$9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1"/>
        </c:ser>
        <c:marker val="1"/>
        <c:axId val="35327990"/>
        <c:axId val="49516455"/>
      </c:lineChart>
      <c:catAx>
        <c:axId val="35327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Noeuds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16455"/>
        <c:crosses val="autoZero"/>
        <c:auto val="1"/>
        <c:lblOffset val="100"/>
        <c:noMultiLvlLbl val="0"/>
      </c:catAx>
      <c:valAx>
        <c:axId val="49516455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27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Prévisions V(N) Temps calme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Application!$C$40:$C$48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Application!$D$40:$D$48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marker val="1"/>
        <c:axId val="27567294"/>
        <c:axId val="46779055"/>
      </c:lineChart>
      <c:catAx>
        <c:axId val="27567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79055"/>
        <c:crosses val="autoZero"/>
        <c:auto val="1"/>
        <c:lblOffset val="100"/>
        <c:noMultiLvlLbl val="0"/>
      </c:catAx>
      <c:valAx>
        <c:axId val="46779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672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l/h (N) selon VOLVO exp 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Application!$C$40:$C$48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Application!$G$40:$G$48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marker val="1"/>
        <c:axId val="18358312"/>
        <c:axId val="31007081"/>
      </c:lineChart>
      <c:catAx>
        <c:axId val="18358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07081"/>
        <c:crosses val="autoZero"/>
        <c:auto val="1"/>
        <c:lblOffset val="100"/>
        <c:noMultiLvlLbl val="0"/>
      </c:catAx>
      <c:valAx>
        <c:axId val="31007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583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Prévision l/mn (V) temps calme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Application!$D$40:$D$48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Application!$H$40:$H$48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marker val="1"/>
        <c:axId val="10628274"/>
        <c:axId val="28545603"/>
      </c:lineChart>
      <c:catAx>
        <c:axId val="10628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45603"/>
        <c:crosses val="autoZero"/>
        <c:auto val="1"/>
        <c:lblOffset val="100"/>
        <c:noMultiLvlLbl val="0"/>
      </c:catAx>
      <c:valAx>
        <c:axId val="28545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L:mn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282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 f(R)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'Puissance et conso Exp1'!$N$4:$N$17</c:f>
              <c:numCache>
                <c:ptCount val="14"/>
                <c:pt idx="0">
                  <c:v>0.6</c:v>
                </c:pt>
                <c:pt idx="1">
                  <c:v>0.65</c:v>
                </c:pt>
                <c:pt idx="2">
                  <c:v>0.7</c:v>
                </c:pt>
                <c:pt idx="3">
                  <c:v>0.75</c:v>
                </c:pt>
                <c:pt idx="4">
                  <c:v>0.8</c:v>
                </c:pt>
                <c:pt idx="5">
                  <c:v>0.85</c:v>
                </c:pt>
                <c:pt idx="6">
                  <c:v>0.9</c:v>
                </c:pt>
                <c:pt idx="7">
                  <c:v>0.95</c:v>
                </c:pt>
                <c:pt idx="8">
                  <c:v>1</c:v>
                </c:pt>
                <c:pt idx="9">
                  <c:v>1.05</c:v>
                </c:pt>
                <c:pt idx="10">
                  <c:v>1.1</c:v>
                </c:pt>
                <c:pt idx="11">
                  <c:v>1.15</c:v>
                </c:pt>
                <c:pt idx="12">
                  <c:v>1.2</c:v>
                </c:pt>
                <c:pt idx="13">
                  <c:v>1.25</c:v>
                </c:pt>
              </c:numCache>
            </c:numRef>
          </c:cat>
          <c:val>
            <c:numRef>
              <c:f>'Puissance et conso Exp1'!$O$4:$O$17</c:f>
              <c:numCache>
                <c:ptCount val="14"/>
                <c:pt idx="0">
                  <c:v>4.128493826867163</c:v>
                </c:pt>
                <c:pt idx="1">
                  <c:v>4.4725349791060935</c:v>
                </c:pt>
                <c:pt idx="2">
                  <c:v>4.816576131345023</c:v>
                </c:pt>
                <c:pt idx="3">
                  <c:v>5.160617283583954</c:v>
                </c:pt>
                <c:pt idx="4">
                  <c:v>5.5046584358228845</c:v>
                </c:pt>
                <c:pt idx="5">
                  <c:v>5.848699588061814</c:v>
                </c:pt>
                <c:pt idx="6">
                  <c:v>6.192740740300744</c:v>
                </c:pt>
                <c:pt idx="7">
                  <c:v>6.536781892539675</c:v>
                </c:pt>
                <c:pt idx="8">
                  <c:v>6.880823044778605</c:v>
                </c:pt>
                <c:pt idx="9">
                  <c:v>7.224864197017535</c:v>
                </c:pt>
                <c:pt idx="10">
                  <c:v>7.568905349256466</c:v>
                </c:pt>
                <c:pt idx="11">
                  <c:v>7.912946501495396</c:v>
                </c:pt>
                <c:pt idx="12">
                  <c:v>8.256987653734326</c:v>
                </c:pt>
                <c:pt idx="13">
                  <c:v>8.601028805973256</c:v>
                </c:pt>
              </c:numCache>
            </c:numRef>
          </c:val>
          <c:smooth val="0"/>
        </c:ser>
        <c:marker val="1"/>
        <c:axId val="55583836"/>
        <c:axId val="30492477"/>
      </c:lineChart>
      <c:catAx>
        <c:axId val="55583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92477"/>
        <c:crosses val="autoZero"/>
        <c:auto val="1"/>
        <c:lblOffset val="100"/>
        <c:noMultiLvlLbl val="0"/>
      </c:catAx>
      <c:valAx>
        <c:axId val="30492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83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Puissances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'Estimation des efforts'!$B$107:$B$126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'Estimation des efforts'!$H$107:$H$126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'Estimation des efforts'!$B$107:$B$126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'Estimation des efforts'!$Q$77:$Q$96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'Estimation des efforts'!$B$107:$B$126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'Estimation des efforts'!$D$107:$D$126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'Estimation des efforts'!$B$107:$B$126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'Estimation des efforts'!$D$77:$D$96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'Estimation des efforts'!$B$107:$B$126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'Estimation des efforts'!$I$107:$I$126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5996838"/>
        <c:axId val="53971543"/>
      </c:lineChart>
      <c:catAx>
        <c:axId val="5996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Tours moteur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71543"/>
        <c:crosses val="autoZero"/>
        <c:auto val="1"/>
        <c:lblOffset val="100"/>
        <c:noMultiLvlLbl val="0"/>
      </c:catAx>
      <c:valAx>
        <c:axId val="53971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Puissances estimées (Watt)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6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Nw (N)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'Estimation des efforts'!$B$77:$B$96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'Estimation des efforts'!$P$77:$P$96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5981840"/>
        <c:axId val="9618833"/>
      </c:lineChart>
      <c:catAx>
        <c:axId val="15981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8833"/>
        <c:crosses val="autoZero"/>
        <c:auto val="1"/>
        <c:lblOffset val="100"/>
        <c:noMultiLvlLbl val="0"/>
      </c:catAx>
      <c:valAx>
        <c:axId val="9618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81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Consommation maximale C(N)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'Conso Max D2-75 VOLVO'!$X$10:$X$19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'Conso Max D2-75 VOLVO'!$S$10:$S$19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'Conso Max D2-75 VOLVO'!$X$10:$X$19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'Conso Max D2-75 VOLVO'!$T$10:$T$19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'Conso Max D2-75 VOLVO'!$X$10:$X$19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'Conso Max D2-75 VOLVO'!$U$10:$U$19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9460634"/>
        <c:axId val="40927979"/>
      </c:lineChart>
      <c:catAx>
        <c:axId val="19460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tours/minute du moteur exp 3,0 VOLVO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27979"/>
        <c:crosses val="autoZero"/>
        <c:auto val="1"/>
        <c:lblOffset val="100"/>
        <c:noMultiLvlLbl val="0"/>
      </c:catAx>
      <c:valAx>
        <c:axId val="40927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Consommation en litres/heure exp 3,0 VOLVO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60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Evaluation de la puissance et de la résistance à la vague Expérience 1
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'Puissance et conso Exp1'!$B$4:$B$17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'Puissance et conso Exp1'!$P$4:$P$17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ser>
          <c:idx val="1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'Puissance et conso Exp1'!$B$4:$B$17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'Puissance et conso Exp1'!$E$4:$E$17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ser>
          <c:idx val="2"/>
          <c:order val="2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'Puissance et conso Exp1'!$B$4:$B$17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'Puissance et conso Exp1'!$G$4:$G$17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ser>
          <c:idx val="3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'Puissance et conso Exp1'!$B$4:$B$17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'Puissance et conso Exp1'!$I$4:$I$17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marker val="1"/>
        <c:axId val="32807492"/>
        <c:axId val="26831973"/>
      </c:lineChart>
      <c:catAx>
        <c:axId val="32807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31973"/>
        <c:crosses val="autoZero"/>
        <c:auto val="1"/>
        <c:lblOffset val="100"/>
        <c:noMultiLvlLbl val="0"/>
      </c:catAx>
      <c:valAx>
        <c:axId val="26831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07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15</xdr:row>
      <xdr:rowOff>9525</xdr:rowOff>
    </xdr:from>
    <xdr:to>
      <xdr:col>5</xdr:col>
      <xdr:colOff>457200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200025" y="2438400"/>
        <a:ext cx="40671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371475</xdr:colOff>
      <xdr:row>38</xdr:row>
      <xdr:rowOff>9525</xdr:rowOff>
    </xdr:from>
    <xdr:to>
      <xdr:col>21</xdr:col>
      <xdr:colOff>381000</xdr:colOff>
      <xdr:row>52</xdr:row>
      <xdr:rowOff>152400</xdr:rowOff>
    </xdr:to>
    <xdr:graphicFrame>
      <xdr:nvGraphicFramePr>
        <xdr:cNvPr id="1" name="Chart 1"/>
        <xdr:cNvGraphicFramePr/>
      </xdr:nvGraphicFramePr>
      <xdr:xfrm>
        <a:off x="12630150" y="6162675"/>
        <a:ext cx="38195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352425</xdr:colOff>
      <xdr:row>38</xdr:row>
      <xdr:rowOff>9525</xdr:rowOff>
    </xdr:from>
    <xdr:to>
      <xdr:col>16</xdr:col>
      <xdr:colOff>352425</xdr:colOff>
      <xdr:row>52</xdr:row>
      <xdr:rowOff>152400</xdr:rowOff>
    </xdr:to>
    <xdr:graphicFrame>
      <xdr:nvGraphicFramePr>
        <xdr:cNvPr id="2" name="Chart 2"/>
        <xdr:cNvGraphicFramePr/>
      </xdr:nvGraphicFramePr>
      <xdr:xfrm>
        <a:off x="8801100" y="6162675"/>
        <a:ext cx="381000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333375</xdr:colOff>
      <xdr:row>55</xdr:row>
      <xdr:rowOff>9525</xdr:rowOff>
    </xdr:from>
    <xdr:to>
      <xdr:col>16</xdr:col>
      <xdr:colOff>333375</xdr:colOff>
      <xdr:row>70</xdr:row>
      <xdr:rowOff>0</xdr:rowOff>
    </xdr:to>
    <xdr:graphicFrame>
      <xdr:nvGraphicFramePr>
        <xdr:cNvPr id="3" name="Chart 3"/>
        <xdr:cNvGraphicFramePr/>
      </xdr:nvGraphicFramePr>
      <xdr:xfrm>
        <a:off x="8782050" y="8915400"/>
        <a:ext cx="381000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42</xdr:row>
      <xdr:rowOff>9525</xdr:rowOff>
    </xdr:from>
    <xdr:to>
      <xdr:col>18</xdr:col>
      <xdr:colOff>0</xdr:colOff>
      <xdr:row>80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6067425"/>
          <a:ext cx="7248525" cy="6105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19050</xdr:colOff>
      <xdr:row>4</xdr:row>
      <xdr:rowOff>9525</xdr:rowOff>
    </xdr:from>
    <xdr:to>
      <xdr:col>18</xdr:col>
      <xdr:colOff>9525</xdr:colOff>
      <xdr:row>39</xdr:row>
      <xdr:rowOff>133350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638175"/>
          <a:ext cx="6848475" cy="5124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704850</xdr:colOff>
      <xdr:row>43</xdr:row>
      <xdr:rowOff>0</xdr:rowOff>
    </xdr:from>
    <xdr:to>
      <xdr:col>7</xdr:col>
      <xdr:colOff>9525</xdr:colOff>
      <xdr:row>82</xdr:row>
      <xdr:rowOff>0</xdr:rowOff>
    </xdr:to>
    <xdr:graphicFrame>
      <xdr:nvGraphicFramePr>
        <xdr:cNvPr id="3" name="Chart 5"/>
        <xdr:cNvGraphicFramePr/>
      </xdr:nvGraphicFramePr>
      <xdr:xfrm>
        <a:off x="704850" y="6200775"/>
        <a:ext cx="7515225" cy="614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533400</xdr:colOff>
      <xdr:row>104</xdr:row>
      <xdr:rowOff>152400</xdr:rowOff>
    </xdr:from>
    <xdr:to>
      <xdr:col>29</xdr:col>
      <xdr:colOff>266700</xdr:colOff>
      <xdr:row>132</xdr:row>
      <xdr:rowOff>123825</xdr:rowOff>
    </xdr:to>
    <xdr:graphicFrame>
      <xdr:nvGraphicFramePr>
        <xdr:cNvPr id="1" name="Chart 1"/>
        <xdr:cNvGraphicFramePr/>
      </xdr:nvGraphicFramePr>
      <xdr:xfrm>
        <a:off x="3429000" y="11639550"/>
        <a:ext cx="70104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171450</xdr:colOff>
      <xdr:row>54</xdr:row>
      <xdr:rowOff>9525</xdr:rowOff>
    </xdr:from>
    <xdr:to>
      <xdr:col>41</xdr:col>
      <xdr:colOff>19050</xdr:colOff>
      <xdr:row>101</xdr:row>
      <xdr:rowOff>9525</xdr:rowOff>
    </xdr:to>
    <xdr:graphicFrame>
      <xdr:nvGraphicFramePr>
        <xdr:cNvPr id="2" name="Chart 2"/>
        <xdr:cNvGraphicFramePr/>
      </xdr:nvGraphicFramePr>
      <xdr:xfrm>
        <a:off x="8934450" y="6143625"/>
        <a:ext cx="664845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</xdr:row>
      <xdr:rowOff>152400</xdr:rowOff>
    </xdr:from>
    <xdr:to>
      <xdr:col>16</xdr:col>
      <xdr:colOff>457200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581025" y="381000"/>
        <a:ext cx="12068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28</xdr:row>
      <xdr:rowOff>142875</xdr:rowOff>
    </xdr:from>
    <xdr:to>
      <xdr:col>6</xdr:col>
      <xdr:colOff>190500</xdr:colOff>
      <xdr:row>57</xdr:row>
      <xdr:rowOff>95250</xdr:rowOff>
    </xdr:to>
    <xdr:graphicFrame>
      <xdr:nvGraphicFramePr>
        <xdr:cNvPr id="1" name="Chart 1"/>
        <xdr:cNvGraphicFramePr/>
      </xdr:nvGraphicFramePr>
      <xdr:xfrm>
        <a:off x="28575" y="4743450"/>
        <a:ext cx="47339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28</xdr:row>
      <xdr:rowOff>123825</xdr:rowOff>
    </xdr:from>
    <xdr:to>
      <xdr:col>15</xdr:col>
      <xdr:colOff>752475</xdr:colOff>
      <xdr:row>57</xdr:row>
      <xdr:rowOff>57150</xdr:rowOff>
    </xdr:to>
    <xdr:graphicFrame>
      <xdr:nvGraphicFramePr>
        <xdr:cNvPr id="2" name="Chart 2"/>
        <xdr:cNvGraphicFramePr/>
      </xdr:nvGraphicFramePr>
      <xdr:xfrm>
        <a:off x="5029200" y="4724400"/>
        <a:ext cx="715327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</xdr:colOff>
      <xdr:row>35</xdr:row>
      <xdr:rowOff>66675</xdr:rowOff>
    </xdr:from>
    <xdr:to>
      <xdr:col>24</xdr:col>
      <xdr:colOff>714375</xdr:colOff>
      <xdr:row>59</xdr:row>
      <xdr:rowOff>19050</xdr:rowOff>
    </xdr:to>
    <xdr:graphicFrame>
      <xdr:nvGraphicFramePr>
        <xdr:cNvPr id="1" name="Chart 1"/>
        <xdr:cNvGraphicFramePr/>
      </xdr:nvGraphicFramePr>
      <xdr:xfrm>
        <a:off x="8801100" y="5067300"/>
        <a:ext cx="37433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66675</xdr:colOff>
      <xdr:row>35</xdr:row>
      <xdr:rowOff>66675</xdr:rowOff>
    </xdr:from>
    <xdr:to>
      <xdr:col>29</xdr:col>
      <xdr:colOff>733425</xdr:colOff>
      <xdr:row>58</xdr:row>
      <xdr:rowOff>133350</xdr:rowOff>
    </xdr:to>
    <xdr:graphicFrame>
      <xdr:nvGraphicFramePr>
        <xdr:cNvPr id="2" name="Chart 2"/>
        <xdr:cNvGraphicFramePr/>
      </xdr:nvGraphicFramePr>
      <xdr:xfrm>
        <a:off x="12658725" y="5067300"/>
        <a:ext cx="371475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66675</xdr:colOff>
      <xdr:row>11</xdr:row>
      <xdr:rowOff>47625</xdr:rowOff>
    </xdr:from>
    <xdr:to>
      <xdr:col>29</xdr:col>
      <xdr:colOff>733425</xdr:colOff>
      <xdr:row>35</xdr:row>
      <xdr:rowOff>9525</xdr:rowOff>
    </xdr:to>
    <xdr:graphicFrame>
      <xdr:nvGraphicFramePr>
        <xdr:cNvPr id="3" name="Chart 3"/>
        <xdr:cNvGraphicFramePr/>
      </xdr:nvGraphicFramePr>
      <xdr:xfrm>
        <a:off x="12658725" y="1619250"/>
        <a:ext cx="3714750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28575</xdr:colOff>
      <xdr:row>11</xdr:row>
      <xdr:rowOff>38100</xdr:rowOff>
    </xdr:from>
    <xdr:to>
      <xdr:col>24</xdr:col>
      <xdr:colOff>723900</xdr:colOff>
      <xdr:row>35</xdr:row>
      <xdr:rowOff>9525</xdr:rowOff>
    </xdr:to>
    <xdr:graphicFrame>
      <xdr:nvGraphicFramePr>
        <xdr:cNvPr id="4" name="Chart 4"/>
        <xdr:cNvGraphicFramePr/>
      </xdr:nvGraphicFramePr>
      <xdr:xfrm>
        <a:off x="8810625" y="1609725"/>
        <a:ext cx="3743325" cy="3400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.free.fr/phpmyvisites.php?url=http://tramontane34.free.fr/ConsNavAm/fichiers_conception/helice/Helice-etude19x16-PostAppl-VOLVO-D2-75.xls&amp;id=79440&amp;pagename=FILE:telechargement-Helice-etude19x16-PostAppl-VOLVO-D2-75.xls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ramontane34.free.fr/ConsNavAm/telecharger-calcul-helices.php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t.free.fr/phpmyvisites.php?url=http://tramontane34.free.fr/ConsNavAm/fichiers_conception/helice/Radice-84.pdf&amp;id=79440&amp;pagename=FILE:telechargement-Radice-84.pdf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15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1.421875" style="2" customWidth="1"/>
    <col min="3" max="4" width="11.421875" style="3" customWidth="1"/>
  </cols>
  <sheetData>
    <row r="1" ht="12.75">
      <c r="A1" s="1" t="s">
        <v>0</v>
      </c>
    </row>
    <row r="2" ht="12.75">
      <c r="B2" s="2" t="s">
        <v>1</v>
      </c>
    </row>
    <row r="3" spans="1:2" ht="12.75">
      <c r="A3" s="1" t="s">
        <v>2</v>
      </c>
      <c r="B3" s="4" t="s">
        <v>3</v>
      </c>
    </row>
    <row r="4" ht="12.75">
      <c r="B4" s="4" t="s">
        <v>4</v>
      </c>
    </row>
    <row r="5" spans="1:4" ht="12.75">
      <c r="A5" s="5" t="s">
        <v>5</v>
      </c>
      <c r="B5" s="6" t="s">
        <v>6</v>
      </c>
      <c r="C5" s="7" t="s">
        <v>7</v>
      </c>
      <c r="D5" s="8" t="s">
        <v>8</v>
      </c>
    </row>
    <row r="6" spans="2:3" ht="12.75">
      <c r="B6" s="9">
        <v>0</v>
      </c>
      <c r="C6" s="10">
        <f aca="true" t="shared" si="0" ref="C6:C15">(1-B6)*(1+B6)*(1+B6)</f>
        <v>1</v>
      </c>
    </row>
    <row r="7" spans="1:4" ht="12.75">
      <c r="A7" s="1">
        <v>9</v>
      </c>
      <c r="B7" s="9">
        <f aca="true" t="shared" si="1" ref="B7:B12">1/A7</f>
        <v>0.1111111111111111</v>
      </c>
      <c r="C7" s="10">
        <f t="shared" si="0"/>
        <v>1.0973936899862826</v>
      </c>
      <c r="D7" s="3">
        <f aca="true" t="shared" si="2" ref="D7:D15">A7*A7*A7*(1-B7)*(1+B7)*(1+B7)</f>
        <v>800</v>
      </c>
    </row>
    <row r="8" spans="1:4" ht="12.75">
      <c r="A8" s="1">
        <v>6</v>
      </c>
      <c r="B8" s="9">
        <f t="shared" si="1"/>
        <v>0.16666666666666666</v>
      </c>
      <c r="C8" s="10">
        <f t="shared" si="0"/>
        <v>1.1342592592592595</v>
      </c>
      <c r="D8" s="3">
        <f t="shared" si="2"/>
        <v>245.00000000000003</v>
      </c>
    </row>
    <row r="9" spans="1:5" ht="12.75">
      <c r="A9" s="11">
        <v>3</v>
      </c>
      <c r="B9" s="12">
        <f t="shared" si="1"/>
        <v>0.3333333333333333</v>
      </c>
      <c r="C9" s="13">
        <f t="shared" si="0"/>
        <v>1.1851851851851851</v>
      </c>
      <c r="D9" s="14">
        <f t="shared" si="2"/>
        <v>32</v>
      </c>
      <c r="E9" t="s">
        <v>9</v>
      </c>
    </row>
    <row r="10" spans="1:4" ht="12.75">
      <c r="A10" s="11">
        <v>2.5</v>
      </c>
      <c r="B10" s="12">
        <f t="shared" si="1"/>
        <v>0.4</v>
      </c>
      <c r="C10" s="13">
        <f t="shared" si="0"/>
        <v>1.176</v>
      </c>
      <c r="D10" s="14">
        <f t="shared" si="2"/>
        <v>18.375</v>
      </c>
    </row>
    <row r="11" spans="1:5" ht="12.75">
      <c r="A11" s="11">
        <v>2</v>
      </c>
      <c r="B11" s="12">
        <f t="shared" si="1"/>
        <v>0.5</v>
      </c>
      <c r="C11" s="13">
        <f t="shared" si="0"/>
        <v>1.125</v>
      </c>
      <c r="D11" s="14">
        <f t="shared" si="2"/>
        <v>9</v>
      </c>
      <c r="E11" t="s">
        <v>10</v>
      </c>
    </row>
    <row r="12" spans="1:5" ht="12.75">
      <c r="A12" s="11">
        <v>1.5</v>
      </c>
      <c r="B12" s="12">
        <f t="shared" si="1"/>
        <v>0.6666666666666666</v>
      </c>
      <c r="C12" s="13">
        <f t="shared" si="0"/>
        <v>0.9259259259259259</v>
      </c>
      <c r="D12" s="14">
        <f t="shared" si="2"/>
        <v>3.125</v>
      </c>
      <c r="E12" t="s">
        <v>11</v>
      </c>
    </row>
    <row r="13" spans="1:4" ht="12.75">
      <c r="A13" s="11">
        <f>1/B13</f>
        <v>1.0526315789473684</v>
      </c>
      <c r="B13" s="12">
        <v>0.95</v>
      </c>
      <c r="C13" s="13">
        <f t="shared" si="0"/>
        <v>0.19012500000000015</v>
      </c>
      <c r="D13" s="14">
        <f t="shared" si="2"/>
        <v>0.22175244204694575</v>
      </c>
    </row>
    <row r="14" spans="1:4" ht="12.75">
      <c r="A14" s="15">
        <f>1/B14</f>
        <v>1.000100010001</v>
      </c>
      <c r="B14" s="16">
        <v>0.9999</v>
      </c>
      <c r="C14" s="17">
        <f t="shared" si="0"/>
        <v>0.00039996000099995596</v>
      </c>
      <c r="D14" s="18">
        <f t="shared" si="2"/>
        <v>0.0004000800130018562</v>
      </c>
    </row>
    <row r="15" spans="1:5" ht="12.75">
      <c r="A15" s="15">
        <f>1/B15</f>
        <v>1</v>
      </c>
      <c r="B15" s="16">
        <v>1</v>
      </c>
      <c r="C15" s="17">
        <f t="shared" si="0"/>
        <v>0</v>
      </c>
      <c r="D15" s="18">
        <f t="shared" si="2"/>
        <v>0</v>
      </c>
      <c r="E15" t="s">
        <v>12</v>
      </c>
    </row>
  </sheetData>
  <sheetProtection sheet="1" objects="1" scenario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K88"/>
  <sheetViews>
    <sheetView workbookViewId="0" topLeftCell="A39">
      <selection activeCell="A87" sqref="A87"/>
    </sheetView>
  </sheetViews>
  <sheetFormatPr defaultColWidth="11.421875" defaultRowHeight="12.75"/>
  <cols>
    <col min="10" max="10" width="12.421875" style="0" customWidth="1"/>
  </cols>
  <sheetData>
    <row r="1" spans="1:2" ht="12.75">
      <c r="A1" s="19" t="s">
        <v>13</v>
      </c>
      <c r="B1" s="20"/>
    </row>
    <row r="3" ht="12.75">
      <c r="A3" s="21" t="s">
        <v>14</v>
      </c>
    </row>
    <row r="4" ht="12.75">
      <c r="A4" s="21" t="s">
        <v>15</v>
      </c>
    </row>
    <row r="5" ht="12.75">
      <c r="B5" t="s">
        <v>16</v>
      </c>
    </row>
    <row r="6" ht="12.75">
      <c r="B6" t="s">
        <v>17</v>
      </c>
    </row>
    <row r="7" ht="12.75">
      <c r="B7" t="s">
        <v>18</v>
      </c>
    </row>
    <row r="8" ht="12.75">
      <c r="A8" t="s">
        <v>19</v>
      </c>
    </row>
    <row r="9" ht="12.75">
      <c r="A9" t="s">
        <v>20</v>
      </c>
    </row>
    <row r="10" ht="12.75">
      <c r="A10" t="s">
        <v>21</v>
      </c>
    </row>
    <row r="12" ht="12.75">
      <c r="A12" s="19" t="s">
        <v>22</v>
      </c>
    </row>
    <row r="13" ht="12.75">
      <c r="A13" s="21" t="s">
        <v>23</v>
      </c>
    </row>
    <row r="14" ht="12.75">
      <c r="A14" s="21" t="s">
        <v>24</v>
      </c>
    </row>
    <row r="15" ht="12.75">
      <c r="B15" t="s">
        <v>25</v>
      </c>
    </row>
    <row r="16" ht="12.75">
      <c r="B16" t="s">
        <v>26</v>
      </c>
    </row>
    <row r="17" ht="12.75">
      <c r="B17" t="s">
        <v>27</v>
      </c>
    </row>
    <row r="18" ht="12.75">
      <c r="B18" s="22" t="s">
        <v>28</v>
      </c>
    </row>
    <row r="19" ht="12.75">
      <c r="B19" s="22" t="s">
        <v>29</v>
      </c>
    </row>
    <row r="20" ht="12.75">
      <c r="B20" s="23" t="s">
        <v>30</v>
      </c>
    </row>
    <row r="21" ht="12.75">
      <c r="B21" s="23" t="s">
        <v>31</v>
      </c>
    </row>
    <row r="22" ht="12.75">
      <c r="A22" s="21" t="s">
        <v>32</v>
      </c>
    </row>
    <row r="23" ht="12.75">
      <c r="B23" s="23" t="s">
        <v>33</v>
      </c>
    </row>
    <row r="25" ht="12.75">
      <c r="A25" s="21" t="s">
        <v>34</v>
      </c>
    </row>
    <row r="27" ht="12.75">
      <c r="B27" s="23" t="s">
        <v>35</v>
      </c>
    </row>
    <row r="28" spans="3:10" ht="12.75">
      <c r="C28" s="24" t="s">
        <v>36</v>
      </c>
      <c r="D28" s="24" t="s">
        <v>37</v>
      </c>
      <c r="E28" s="25" t="s">
        <v>38</v>
      </c>
      <c r="F28" s="26"/>
      <c r="G28" s="26"/>
      <c r="H28" s="26"/>
      <c r="I28" s="26"/>
      <c r="J28" s="27"/>
    </row>
    <row r="29" spans="3:10" ht="12.75">
      <c r="C29" s="28">
        <v>1200</v>
      </c>
      <c r="D29" s="29">
        <v>4.2</v>
      </c>
      <c r="E29" s="30" t="s">
        <v>39</v>
      </c>
      <c r="F29" s="31"/>
      <c r="G29" s="31"/>
      <c r="H29" s="31"/>
      <c r="I29" s="31"/>
      <c r="J29" s="32"/>
    </row>
    <row r="30" spans="3:10" ht="12.75">
      <c r="C30" s="33">
        <v>1480</v>
      </c>
      <c r="D30" s="34">
        <v>5.4</v>
      </c>
      <c r="E30" s="35"/>
      <c r="F30" s="36"/>
      <c r="G30" s="36"/>
      <c r="H30" s="36"/>
      <c r="I30" s="36"/>
      <c r="J30" s="37"/>
    </row>
    <row r="31" spans="3:10" ht="12.75">
      <c r="C31" s="33">
        <v>1800</v>
      </c>
      <c r="D31" s="34" t="s">
        <v>40</v>
      </c>
      <c r="E31" s="35"/>
      <c r="F31" s="36"/>
      <c r="G31" s="36"/>
      <c r="H31" s="36"/>
      <c r="I31" s="36"/>
      <c r="J31" s="37"/>
    </row>
    <row r="32" spans="3:10" ht="12.75">
      <c r="C32" s="33">
        <v>2700</v>
      </c>
      <c r="D32" s="34" t="s">
        <v>41</v>
      </c>
      <c r="E32" s="35"/>
      <c r="F32" s="36"/>
      <c r="G32" s="36"/>
      <c r="H32" s="36"/>
      <c r="I32" s="36"/>
      <c r="J32" s="37"/>
    </row>
    <row r="33" spans="3:10" ht="12.75">
      <c r="C33" s="33">
        <v>2000</v>
      </c>
      <c r="D33" s="34" t="s">
        <v>42</v>
      </c>
      <c r="E33" s="35"/>
      <c r="F33" s="36"/>
      <c r="G33" s="36"/>
      <c r="H33" s="36"/>
      <c r="I33" s="36"/>
      <c r="J33" s="37"/>
    </row>
    <row r="34" spans="3:10" ht="12.75">
      <c r="C34" s="38">
        <v>1950</v>
      </c>
      <c r="D34" s="39">
        <v>7</v>
      </c>
      <c r="E34" s="40" t="s">
        <v>43</v>
      </c>
      <c r="F34" s="41">
        <v>4.3</v>
      </c>
      <c r="G34" s="36" t="s">
        <v>44</v>
      </c>
      <c r="H34" s="42">
        <f>F34/7</f>
        <v>0.6142857142857142</v>
      </c>
      <c r="I34" s="36" t="s">
        <v>45</v>
      </c>
      <c r="J34" s="37"/>
    </row>
    <row r="35" spans="3:10" ht="12.75">
      <c r="C35" s="43"/>
      <c r="D35" s="44"/>
      <c r="E35" s="45"/>
      <c r="F35" s="46"/>
      <c r="G35" s="46"/>
      <c r="H35" s="46"/>
      <c r="I35" s="46"/>
      <c r="J35" s="47"/>
    </row>
    <row r="37" ht="12.75">
      <c r="B37" s="48" t="s">
        <v>46</v>
      </c>
    </row>
    <row r="39" spans="2:11" s="21" customFormat="1" ht="12.75">
      <c r="B39" s="21" t="s">
        <v>47</v>
      </c>
      <c r="C39" s="24" t="s">
        <v>48</v>
      </c>
      <c r="D39" s="49" t="s">
        <v>49</v>
      </c>
      <c r="E39" s="25" t="s">
        <v>50</v>
      </c>
      <c r="F39" s="25" t="s">
        <v>51</v>
      </c>
      <c r="G39" s="25" t="s">
        <v>52</v>
      </c>
      <c r="H39" s="49" t="s">
        <v>53</v>
      </c>
      <c r="I39" s="50" t="s">
        <v>54</v>
      </c>
      <c r="J39" s="51" t="s">
        <v>55</v>
      </c>
      <c r="K39" s="51" t="s">
        <v>56</v>
      </c>
    </row>
    <row r="40" spans="3:11" ht="12.75">
      <c r="C40" s="52">
        <v>1200</v>
      </c>
      <c r="D40" s="53">
        <v>4.2</v>
      </c>
      <c r="E40" s="54">
        <v>1775</v>
      </c>
      <c r="F40" s="55">
        <v>6271</v>
      </c>
      <c r="G40" s="56">
        <v>1.2</v>
      </c>
      <c r="H40" s="57">
        <f aca="true" t="shared" si="0" ref="H40:H48">G40/D40</f>
        <v>0.2857142857142857</v>
      </c>
      <c r="I40" s="58">
        <f aca="true" t="shared" si="1" ref="I40:I48">F40/(G40)</f>
        <v>5225.833333333334</v>
      </c>
      <c r="J40" s="59">
        <f aca="true" t="shared" si="2" ref="J40:J48">(F40/4660)</f>
        <v>1.3457081545064378</v>
      </c>
      <c r="K40" s="60">
        <f aca="true" t="shared" si="3" ref="K40:K48">J40-G40</f>
        <v>0.14570815450643781</v>
      </c>
    </row>
    <row r="41" spans="3:11" ht="12.75">
      <c r="C41" s="52">
        <v>1400</v>
      </c>
      <c r="D41" s="53">
        <v>5.1</v>
      </c>
      <c r="E41" s="54">
        <v>2194</v>
      </c>
      <c r="F41" s="54">
        <v>8967</v>
      </c>
      <c r="G41" s="61">
        <v>1.8</v>
      </c>
      <c r="H41" s="57">
        <f t="shared" si="0"/>
        <v>0.35294117647058826</v>
      </c>
      <c r="I41" s="58">
        <f t="shared" si="1"/>
        <v>4981.666666666667</v>
      </c>
      <c r="J41" s="59">
        <f t="shared" si="2"/>
        <v>1.9242489270386267</v>
      </c>
      <c r="K41" s="60">
        <f t="shared" si="3"/>
        <v>0.12424892703862667</v>
      </c>
    </row>
    <row r="42" spans="3:11" ht="12.75">
      <c r="C42" s="52">
        <v>1600</v>
      </c>
      <c r="D42" s="53">
        <v>5.8</v>
      </c>
      <c r="E42" s="54">
        <v>2751</v>
      </c>
      <c r="F42" s="54">
        <v>12684</v>
      </c>
      <c r="G42" s="61">
        <v>2.6</v>
      </c>
      <c r="H42" s="57">
        <f t="shared" si="0"/>
        <v>0.4482758620689655</v>
      </c>
      <c r="I42" s="58">
        <f t="shared" si="1"/>
        <v>4878.461538461538</v>
      </c>
      <c r="J42" s="59">
        <f t="shared" si="2"/>
        <v>2.7218884120171674</v>
      </c>
      <c r="K42" s="60">
        <f t="shared" si="3"/>
        <v>0.12188841201716727</v>
      </c>
    </row>
    <row r="43" spans="3:11" ht="12.75">
      <c r="C43" s="52">
        <v>1800</v>
      </c>
      <c r="D43" s="53">
        <v>6.5</v>
      </c>
      <c r="E43" s="54">
        <v>3332</v>
      </c>
      <c r="F43" s="54">
        <v>17060</v>
      </c>
      <c r="G43" s="61">
        <v>3.5</v>
      </c>
      <c r="H43" s="57">
        <f t="shared" si="0"/>
        <v>0.5384615384615384</v>
      </c>
      <c r="I43" s="62">
        <f t="shared" si="1"/>
        <v>4874.285714285715</v>
      </c>
      <c r="J43" s="63">
        <f t="shared" si="2"/>
        <v>3.6609442060085837</v>
      </c>
      <c r="K43" s="64">
        <f t="shared" si="3"/>
        <v>0.16094420600858372</v>
      </c>
    </row>
    <row r="44" spans="3:11" ht="12.75">
      <c r="C44" s="52">
        <v>2000</v>
      </c>
      <c r="D44" s="53">
        <v>7.1</v>
      </c>
      <c r="E44" s="54">
        <v>3994</v>
      </c>
      <c r="F44" s="54">
        <v>22361</v>
      </c>
      <c r="G44" s="61">
        <v>4.8</v>
      </c>
      <c r="H44" s="57">
        <f t="shared" si="0"/>
        <v>0.676056338028169</v>
      </c>
      <c r="I44" s="62">
        <f t="shared" si="1"/>
        <v>4658.541666666667</v>
      </c>
      <c r="J44" s="63">
        <f t="shared" si="2"/>
        <v>4.798497854077254</v>
      </c>
      <c r="K44" s="64">
        <f t="shared" si="3"/>
        <v>-0.001502145922746223</v>
      </c>
    </row>
    <row r="45" spans="3:11" ht="12.75">
      <c r="C45" s="52">
        <v>2200</v>
      </c>
      <c r="D45" s="53">
        <v>7.6</v>
      </c>
      <c r="E45" s="54">
        <v>4729</v>
      </c>
      <c r="F45" s="54">
        <v>28583</v>
      </c>
      <c r="G45" s="61">
        <v>6.3</v>
      </c>
      <c r="H45" s="57">
        <f t="shared" si="0"/>
        <v>0.8289473684210527</v>
      </c>
      <c r="I45" s="62">
        <f t="shared" si="1"/>
        <v>4536.984126984127</v>
      </c>
      <c r="J45" s="63">
        <f t="shared" si="2"/>
        <v>6.133690987124464</v>
      </c>
      <c r="K45" s="64">
        <f t="shared" si="3"/>
        <v>-0.16630901287553623</v>
      </c>
    </row>
    <row r="46" spans="3:11" ht="12.75">
      <c r="C46" s="52">
        <v>2400</v>
      </c>
      <c r="D46" s="53">
        <v>8</v>
      </c>
      <c r="E46" s="54">
        <v>5526</v>
      </c>
      <c r="F46" s="54">
        <v>35651</v>
      </c>
      <c r="G46" s="61">
        <v>8</v>
      </c>
      <c r="H46" s="57">
        <f t="shared" si="0"/>
        <v>1</v>
      </c>
      <c r="I46" s="62">
        <f t="shared" si="1"/>
        <v>4456.375</v>
      </c>
      <c r="J46" s="63">
        <f t="shared" si="2"/>
        <v>7.650429184549356</v>
      </c>
      <c r="K46" s="64">
        <f t="shared" si="3"/>
        <v>-0.34957081545064383</v>
      </c>
    </row>
    <row r="47" spans="3:11" ht="12.75">
      <c r="C47" s="52">
        <v>2600</v>
      </c>
      <c r="D47" s="53">
        <v>8.3</v>
      </c>
      <c r="E47" s="54">
        <v>6367</v>
      </c>
      <c r="F47" s="54">
        <v>43406</v>
      </c>
      <c r="G47" s="61">
        <v>10.2</v>
      </c>
      <c r="H47" s="57">
        <f t="shared" si="0"/>
        <v>1.2289156626506021</v>
      </c>
      <c r="I47" s="58">
        <f t="shared" si="1"/>
        <v>4255.490196078432</v>
      </c>
      <c r="J47" s="59">
        <f t="shared" si="2"/>
        <v>9.314592274678112</v>
      </c>
      <c r="K47" s="60">
        <f t="shared" si="3"/>
        <v>-0.8854077253218868</v>
      </c>
    </row>
    <row r="48" spans="3:11" ht="12.75">
      <c r="C48" s="65">
        <v>2800</v>
      </c>
      <c r="D48" s="66">
        <v>8.6</v>
      </c>
      <c r="E48" s="67">
        <v>7168</v>
      </c>
      <c r="F48" s="67">
        <v>51303</v>
      </c>
      <c r="G48" s="68">
        <v>13.5</v>
      </c>
      <c r="H48" s="69">
        <f t="shared" si="0"/>
        <v>1.5697674418604652</v>
      </c>
      <c r="I48" s="58">
        <f t="shared" si="1"/>
        <v>3800.222222222222</v>
      </c>
      <c r="J48" s="59">
        <f t="shared" si="2"/>
        <v>11.00922746781116</v>
      </c>
      <c r="K48" s="60">
        <f t="shared" si="3"/>
        <v>-2.4907725321888403</v>
      </c>
    </row>
    <row r="51" ht="12.75">
      <c r="B51" s="48" t="s">
        <v>57</v>
      </c>
    </row>
    <row r="52" ht="12.75">
      <c r="B52" s="48" t="s">
        <v>58</v>
      </c>
    </row>
    <row r="53" ht="12.75">
      <c r="B53" s="48" t="s">
        <v>59</v>
      </c>
    </row>
    <row r="55" ht="12.75">
      <c r="B55" s="48" t="s">
        <v>60</v>
      </c>
    </row>
    <row r="56" ht="12.75">
      <c r="B56" s="48" t="s">
        <v>61</v>
      </c>
    </row>
    <row r="58" ht="12.75">
      <c r="B58" s="48" t="s">
        <v>62</v>
      </c>
    </row>
    <row r="59" ht="12.75">
      <c r="B59" s="48" t="s">
        <v>63</v>
      </c>
    </row>
    <row r="60" ht="12.75">
      <c r="B60" s="23" t="s">
        <v>64</v>
      </c>
    </row>
    <row r="61" ht="12.75">
      <c r="B61" s="23" t="s">
        <v>65</v>
      </c>
    </row>
    <row r="62" ht="12.75">
      <c r="C62" t="s">
        <v>66</v>
      </c>
    </row>
    <row r="63" ht="12.75">
      <c r="C63" t="s">
        <v>67</v>
      </c>
    </row>
    <row r="64" ht="12.75">
      <c r="B64" s="23" t="s">
        <v>68</v>
      </c>
    </row>
    <row r="73" spans="2:11" ht="12.75">
      <c r="B73" s="70" t="s">
        <v>69</v>
      </c>
      <c r="C73" s="31"/>
      <c r="D73" s="31"/>
      <c r="E73" s="31"/>
      <c r="F73" s="31"/>
      <c r="G73" s="31"/>
      <c r="H73" s="31"/>
      <c r="I73" s="31"/>
      <c r="J73" s="31"/>
      <c r="K73" s="32"/>
    </row>
    <row r="74" spans="2:11" ht="12.75">
      <c r="B74" s="71"/>
      <c r="C74" s="72" t="s">
        <v>70</v>
      </c>
      <c r="D74" s="36"/>
      <c r="E74" s="36"/>
      <c r="F74" s="36"/>
      <c r="G74" s="36"/>
      <c r="H74" s="36"/>
      <c r="I74" s="36"/>
      <c r="J74" s="36"/>
      <c r="K74" s="37"/>
    </row>
    <row r="75" spans="2:11" ht="12.75">
      <c r="B75" s="35"/>
      <c r="C75" s="73" t="s">
        <v>71</v>
      </c>
      <c r="D75" s="36"/>
      <c r="E75" s="36"/>
      <c r="F75" s="36"/>
      <c r="G75" s="36"/>
      <c r="H75" s="36"/>
      <c r="I75" s="36"/>
      <c r="J75" s="36"/>
      <c r="K75" s="37"/>
    </row>
    <row r="76" spans="2:11" ht="12.75">
      <c r="B76" s="35"/>
      <c r="C76" s="73" t="s">
        <v>72</v>
      </c>
      <c r="D76" s="36"/>
      <c r="E76" s="36"/>
      <c r="F76" s="36"/>
      <c r="G76" s="36"/>
      <c r="H76" s="36"/>
      <c r="I76" s="36"/>
      <c r="J76" s="36"/>
      <c r="K76" s="37"/>
    </row>
    <row r="77" spans="2:11" ht="12.75">
      <c r="B77" s="35"/>
      <c r="C77" s="73" t="s">
        <v>73</v>
      </c>
      <c r="D77" s="36"/>
      <c r="E77" s="36"/>
      <c r="F77" s="36"/>
      <c r="G77" s="36"/>
      <c r="H77" s="36"/>
      <c r="I77" s="36"/>
      <c r="J77" s="36"/>
      <c r="K77" s="37"/>
    </row>
    <row r="78" spans="2:11" ht="12.75">
      <c r="B78" s="35"/>
      <c r="C78" s="73" t="s">
        <v>74</v>
      </c>
      <c r="D78" s="36"/>
      <c r="E78" s="36"/>
      <c r="F78" s="36"/>
      <c r="G78" s="36"/>
      <c r="H78" s="36"/>
      <c r="I78" s="36"/>
      <c r="J78" s="36"/>
      <c r="K78" s="37"/>
    </row>
    <row r="79" spans="2:11" ht="12.75">
      <c r="B79" s="35"/>
      <c r="C79" s="74" t="s">
        <v>75</v>
      </c>
      <c r="D79" s="36"/>
      <c r="E79" s="36"/>
      <c r="F79" s="36"/>
      <c r="G79" s="36"/>
      <c r="H79" s="36"/>
      <c r="I79" s="36"/>
      <c r="J79" s="36"/>
      <c r="K79" s="37"/>
    </row>
    <row r="80" spans="2:11" ht="12.75">
      <c r="B80" s="35"/>
      <c r="C80" s="73" t="s">
        <v>76</v>
      </c>
      <c r="D80" s="36"/>
      <c r="E80" s="36"/>
      <c r="F80" s="36"/>
      <c r="G80" s="36"/>
      <c r="H80" s="36"/>
      <c r="I80" s="36"/>
      <c r="J80" s="36"/>
      <c r="K80" s="37"/>
    </row>
    <row r="81" spans="2:11" ht="12.75">
      <c r="B81" s="35"/>
      <c r="C81" s="73" t="s">
        <v>77</v>
      </c>
      <c r="D81" s="36"/>
      <c r="E81" s="36"/>
      <c r="F81" s="36"/>
      <c r="G81" s="36"/>
      <c r="H81" s="36"/>
      <c r="I81" s="36"/>
      <c r="J81" s="36"/>
      <c r="K81" s="37"/>
    </row>
    <row r="82" spans="2:11" ht="12.75">
      <c r="B82" s="35"/>
      <c r="C82" s="36"/>
      <c r="D82" s="36"/>
      <c r="E82" s="36"/>
      <c r="F82" s="36"/>
      <c r="G82" s="36"/>
      <c r="H82" s="36"/>
      <c r="I82" s="36"/>
      <c r="J82" s="36"/>
      <c r="K82" s="37"/>
    </row>
    <row r="83" spans="2:11" ht="12.75">
      <c r="B83" s="75"/>
      <c r="C83" s="76" t="s">
        <v>78</v>
      </c>
      <c r="D83" s="77"/>
      <c r="E83" s="77"/>
      <c r="F83" s="77"/>
      <c r="G83" s="77"/>
      <c r="H83" s="78" t="s">
        <v>79</v>
      </c>
      <c r="I83" s="78" t="s">
        <v>80</v>
      </c>
      <c r="J83" s="77"/>
      <c r="K83" s="79"/>
    </row>
    <row r="84" spans="2:11" ht="12.75">
      <c r="B84" s="80"/>
      <c r="C84" s="81" t="s">
        <v>81</v>
      </c>
      <c r="D84" s="81" t="s">
        <v>82</v>
      </c>
      <c r="E84" s="81" t="s">
        <v>83</v>
      </c>
      <c r="F84" s="81" t="s">
        <v>84</v>
      </c>
      <c r="G84" s="81" t="s">
        <v>85</v>
      </c>
      <c r="H84" s="82" t="s">
        <v>86</v>
      </c>
      <c r="I84" s="81" t="s">
        <v>87</v>
      </c>
      <c r="J84" s="81"/>
      <c r="K84" s="83"/>
    </row>
    <row r="85" spans="2:11" ht="12.75">
      <c r="B85" s="84"/>
      <c r="C85" s="85" t="s">
        <v>88</v>
      </c>
      <c r="D85" s="85" t="s">
        <v>89</v>
      </c>
      <c r="E85" s="85" t="s">
        <v>90</v>
      </c>
      <c r="F85" s="85" t="s">
        <v>91</v>
      </c>
      <c r="G85" s="85" t="s">
        <v>92</v>
      </c>
      <c r="H85" s="85" t="s">
        <v>93</v>
      </c>
      <c r="I85" s="85" t="s">
        <v>94</v>
      </c>
      <c r="J85" s="85"/>
      <c r="K85" s="86"/>
    </row>
    <row r="87" ht="12.75">
      <c r="B87" s="23" t="s">
        <v>95</v>
      </c>
    </row>
    <row r="88" ht="12.75">
      <c r="C88" t="s">
        <v>96</v>
      </c>
    </row>
  </sheetData>
  <sheetProtection sheet="1" objects="1" scenarios="1"/>
  <hyperlinks>
    <hyperlink ref="C74" r:id="rId1" display="Helice-etude19x16-PostAppl-VOLVO-D2-75.xls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J53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37.00390625" style="87" customWidth="1"/>
    <col min="2" max="2" width="6.8515625" style="88" customWidth="1"/>
    <col min="3" max="3" width="6.140625" style="88" customWidth="1"/>
    <col min="4" max="4" width="54.57421875" style="89" customWidth="1"/>
    <col min="5" max="5" width="6.140625" style="90" customWidth="1"/>
    <col min="6" max="6" width="5.00390625" style="87" customWidth="1"/>
    <col min="7" max="7" width="7.421875" style="87" customWidth="1"/>
    <col min="8" max="8" width="5.7109375" style="87" customWidth="1"/>
    <col min="9" max="16384" width="11.421875" style="87" customWidth="1"/>
  </cols>
  <sheetData>
    <row r="1" ht="15.75">
      <c r="A1" s="91" t="s">
        <v>97</v>
      </c>
    </row>
    <row r="2" spans="1:10" ht="11.25">
      <c r="A2" s="87" t="s">
        <v>98</v>
      </c>
      <c r="J2" s="92" t="s">
        <v>99</v>
      </c>
    </row>
    <row r="3" spans="1:10" ht="11.25">
      <c r="A3" s="87" t="s">
        <v>100</v>
      </c>
      <c r="J3" s="92" t="s">
        <v>101</v>
      </c>
    </row>
    <row r="4" ht="11.25">
      <c r="A4" s="93" t="s">
        <v>102</v>
      </c>
    </row>
    <row r="5" ht="11.25">
      <c r="A5" s="94" t="s">
        <v>103</v>
      </c>
    </row>
    <row r="6" spans="1:5" ht="11.25">
      <c r="A6" s="89" t="s">
        <v>104</v>
      </c>
      <c r="B6" s="95">
        <v>13</v>
      </c>
      <c r="C6" s="95"/>
      <c r="D6" s="89" t="s">
        <v>105</v>
      </c>
      <c r="E6" s="96">
        <f>B7/B6</f>
        <v>0.27692307692307694</v>
      </c>
    </row>
    <row r="7" spans="1:6" ht="11.25">
      <c r="A7" s="89" t="s">
        <v>106</v>
      </c>
      <c r="B7" s="95">
        <v>3.6</v>
      </c>
      <c r="C7" s="95"/>
      <c r="D7" s="97" t="s">
        <v>107</v>
      </c>
      <c r="E7" s="98">
        <f>1.33*E13/E12</f>
        <v>1.1670115548304105</v>
      </c>
      <c r="F7" s="99">
        <f>IF(E7&gt;1.18,"Inférieur à 1,18 recommandé","")</f>
      </c>
    </row>
    <row r="8" ht="11.25">
      <c r="D8" s="100" t="s">
        <v>108</v>
      </c>
    </row>
    <row r="9" spans="1:4" ht="11.25">
      <c r="A9" s="89" t="s">
        <v>109</v>
      </c>
      <c r="B9" s="95">
        <v>72</v>
      </c>
      <c r="C9" s="95"/>
      <c r="D9" s="100" t="s">
        <v>110</v>
      </c>
    </row>
    <row r="10" spans="1:5" ht="11.25">
      <c r="A10" s="89" t="s">
        <v>111</v>
      </c>
      <c r="B10" s="95"/>
      <c r="C10" s="95"/>
      <c r="D10" s="89" t="s">
        <v>112</v>
      </c>
      <c r="E10" s="96">
        <f>IF(B10,B10,B9*0.735)</f>
        <v>52.92</v>
      </c>
    </row>
    <row r="11" spans="1:5" ht="11.25">
      <c r="A11" s="89" t="s">
        <v>113</v>
      </c>
      <c r="B11" s="95">
        <v>15</v>
      </c>
      <c r="C11" s="95"/>
      <c r="D11" s="89" t="s">
        <v>114</v>
      </c>
      <c r="E11" s="96">
        <f>E10/(0.735*B11)</f>
        <v>4.8</v>
      </c>
    </row>
    <row r="12" spans="1:7" ht="11.25">
      <c r="A12" s="101" t="s">
        <v>115</v>
      </c>
      <c r="B12" s="102">
        <v>8.03</v>
      </c>
      <c r="C12" s="102"/>
      <c r="D12" s="103" t="s">
        <v>116</v>
      </c>
      <c r="E12" s="104">
        <f>1.33*SQRT(B6)/0.524</f>
        <v>9.151494649555545</v>
      </c>
      <c r="G12" s="100" t="s">
        <v>117</v>
      </c>
    </row>
    <row r="13" spans="4:7" ht="11.25">
      <c r="D13" s="105" t="s">
        <v>118</v>
      </c>
      <c r="E13" s="106">
        <f>IF(B12,B12,E12*SQRT(E11/5))</f>
        <v>8.03</v>
      </c>
      <c r="G13" s="107">
        <f>(4.5/1.852)*SQRT(B6)</f>
        <v>8.76078873627859</v>
      </c>
    </row>
    <row r="14" spans="4:5" ht="11.25">
      <c r="D14" s="105" t="s">
        <v>119</v>
      </c>
      <c r="E14" s="108">
        <f>E13*0.8</f>
        <v>6.4239999999999995</v>
      </c>
    </row>
    <row r="15" spans="4:6" ht="11.25">
      <c r="D15" s="89" t="s">
        <v>120</v>
      </c>
      <c r="E15" s="96">
        <f>E14*2*(1852/3600)</f>
        <v>6.6095822222222225</v>
      </c>
      <c r="F15" s="87" t="str">
        <f>IF(E15&lt;20,"pas de problème de cavitation","problème de cavitation")</f>
        <v>pas de problème de cavitation</v>
      </c>
    </row>
    <row r="16" spans="1:7" ht="11.25">
      <c r="A16" s="89" t="s">
        <v>121</v>
      </c>
      <c r="B16" s="109">
        <v>0.4405</v>
      </c>
      <c r="C16" s="110"/>
      <c r="D16" s="105" t="s">
        <v>122</v>
      </c>
      <c r="E16" s="111">
        <f>SQRT(E10*8/(6.28*E15*E15*E15))</f>
        <v>0.4831857026304933</v>
      </c>
      <c r="F16" s="112">
        <f>E16/0.0254</f>
        <v>19.02305915868084</v>
      </c>
      <c r="G16" s="113" t="s">
        <v>123</v>
      </c>
    </row>
    <row r="17" spans="1:8" ht="11.25">
      <c r="A17" s="89" t="s">
        <v>124</v>
      </c>
      <c r="B17" s="95">
        <v>3000</v>
      </c>
      <c r="C17" s="95"/>
      <c r="D17" s="105" t="s">
        <v>125</v>
      </c>
      <c r="E17" s="114">
        <f>E15/((B17*B16/60)*(1-B18))</f>
        <v>0.4110884096355153</v>
      </c>
      <c r="F17" s="112">
        <f>E17/0.0254</f>
        <v>16.184583056516352</v>
      </c>
      <c r="G17" s="113" t="s">
        <v>123</v>
      </c>
      <c r="H17" s="115" t="str">
        <f>IF(F17/F16&gt;1.05," sûrement trop grand, changer B12","ok")</f>
        <v>ok</v>
      </c>
    </row>
    <row r="18" spans="1:8" ht="11.25">
      <c r="A18" s="103" t="s">
        <v>126</v>
      </c>
      <c r="B18" s="116">
        <v>0.27</v>
      </c>
      <c r="C18" s="117" t="str">
        <f>IF(B18&lt;0.25,"0,28 à 0,33","ok")</f>
        <v>ok</v>
      </c>
      <c r="D18" s="118" t="s">
        <v>127</v>
      </c>
      <c r="E18" s="119">
        <f>E15/((B17*B16/60)*(1-B19))</f>
        <v>0.43185284074532465</v>
      </c>
      <c r="F18" s="112">
        <f>E18/0.0254</f>
        <v>17.002080344304122</v>
      </c>
      <c r="G18" s="113" t="s">
        <v>123</v>
      </c>
      <c r="H18" s="115" t="str">
        <f>IF(F18/F16&gt;1.05," sûrement trop grand, changer B12","ok")</f>
        <v>ok</v>
      </c>
    </row>
    <row r="19" spans="1:5" ht="11.25">
      <c r="A19" s="89" t="s">
        <v>128</v>
      </c>
      <c r="B19" s="120">
        <f>B18*B20</f>
        <v>0.3051</v>
      </c>
      <c r="C19" s="117" t="str">
        <f>IF(B19&lt;0.25,"0,28 à 0,33","ok")</f>
        <v>ok</v>
      </c>
      <c r="D19" s="105" t="s">
        <v>129</v>
      </c>
      <c r="E19" s="108">
        <f>(B19*100)/(((B17/60)*B16*E18)*(3600/1852)-E14)</f>
        <v>2.5288041606675145</v>
      </c>
    </row>
    <row r="20" spans="1:5" ht="11.25">
      <c r="A20" s="121" t="s">
        <v>130</v>
      </c>
      <c r="B20" s="116">
        <v>1.13</v>
      </c>
      <c r="C20" s="117"/>
      <c r="D20" s="105"/>
      <c r="E20" s="108"/>
    </row>
    <row r="21" spans="1:8" ht="11.25">
      <c r="A21" s="89" t="s">
        <v>133</v>
      </c>
      <c r="B21" s="95">
        <v>0.54</v>
      </c>
      <c r="C21" s="123">
        <f>B21/0.0254</f>
        <v>21.25984251968504</v>
      </c>
      <c r="D21" s="105" t="s">
        <v>132</v>
      </c>
      <c r="E21" s="108">
        <f>E16*1.2</f>
        <v>0.5798228431565919</v>
      </c>
      <c r="F21" s="124">
        <f>E21/0.0254</f>
        <v>22.827670990417005</v>
      </c>
      <c r="G21" s="113" t="s">
        <v>123</v>
      </c>
      <c r="H21" s="125" t="str">
        <f>IF(E21&gt;1.05*B21,"Cage trop petite ?","OK")</f>
        <v>Cage trop petite ?</v>
      </c>
    </row>
    <row r="22" ht="11.25"/>
    <row r="23" ht="11.25">
      <c r="A23" s="122" t="s">
        <v>131</v>
      </c>
    </row>
    <row r="24" ht="11.25">
      <c r="A24" s="126" t="s">
        <v>134</v>
      </c>
    </row>
    <row r="25" spans="1:9" ht="11.25">
      <c r="A25" s="125" t="s">
        <v>135</v>
      </c>
      <c r="I25" s="127"/>
    </row>
    <row r="26" spans="1:9" ht="11.25">
      <c r="A26" s="125" t="s">
        <v>136</v>
      </c>
      <c r="H26" s="129"/>
      <c r="I26" s="127"/>
    </row>
    <row r="27" spans="1:9" ht="11.25">
      <c r="A27" s="128" t="s">
        <v>137</v>
      </c>
      <c r="H27" s="127"/>
      <c r="I27" s="127"/>
    </row>
    <row r="28" spans="1:9" ht="11.25">
      <c r="A28" s="130" t="s">
        <v>138</v>
      </c>
      <c r="E28" s="90" t="s">
        <v>139</v>
      </c>
      <c r="H28" s="127"/>
      <c r="I28" s="127"/>
    </row>
    <row r="29" spans="2:9" ht="11.25">
      <c r="B29" s="131"/>
      <c r="C29" s="131"/>
      <c r="D29" s="105" t="s">
        <v>140</v>
      </c>
      <c r="E29" s="132" t="s">
        <v>141</v>
      </c>
      <c r="F29" s="132">
        <v>2.27</v>
      </c>
      <c r="G29" s="133">
        <f>IF(F29&gt;0,1/F29,0)</f>
        <v>0.44052863436123346</v>
      </c>
      <c r="H29" s="127"/>
      <c r="I29" s="127"/>
    </row>
    <row r="30" spans="2:9" ht="11.25">
      <c r="B30" s="134"/>
      <c r="C30" s="135"/>
      <c r="D30" s="89" t="s">
        <v>142</v>
      </c>
      <c r="E30" s="132" t="s">
        <v>143</v>
      </c>
      <c r="F30" s="132">
        <v>2.1</v>
      </c>
      <c r="G30" s="133">
        <f>IF(F30&gt;0,1/F30,0)</f>
        <v>0.47619047619047616</v>
      </c>
      <c r="H30" s="127"/>
      <c r="I30" s="127"/>
    </row>
    <row r="31" spans="1:9" ht="11.25">
      <c r="A31" s="136"/>
      <c r="B31" s="137"/>
      <c r="C31" s="138"/>
      <c r="E31" s="139"/>
      <c r="F31" s="139"/>
      <c r="G31" s="140"/>
      <c r="H31" s="127"/>
      <c r="I31" s="127"/>
    </row>
    <row r="32" spans="1:9" ht="11.25">
      <c r="A32" s="141" t="s">
        <v>144</v>
      </c>
      <c r="B32" s="137"/>
      <c r="C32" s="138"/>
      <c r="E32" s="142"/>
      <c r="F32" s="142"/>
      <c r="G32" s="143"/>
      <c r="H32" s="127"/>
      <c r="I32" s="127"/>
    </row>
    <row r="33" spans="1:9" ht="11.25">
      <c r="A33" s="144"/>
      <c r="B33" s="137"/>
      <c r="C33" s="117"/>
      <c r="E33" s="145"/>
      <c r="F33" s="145"/>
      <c r="G33" s="143"/>
      <c r="H33" s="127"/>
      <c r="I33" s="127"/>
    </row>
    <row r="34" spans="1:9" ht="11.25">
      <c r="A34" s="144"/>
      <c r="B34" s="137"/>
      <c r="C34" s="131"/>
      <c r="D34" s="146"/>
      <c r="E34" s="145"/>
      <c r="F34" s="145"/>
      <c r="G34" s="143"/>
      <c r="H34" s="127"/>
      <c r="I34" s="127"/>
    </row>
    <row r="35" spans="1:9" ht="11.25">
      <c r="A35" s="144"/>
      <c r="B35" s="137"/>
      <c r="C35" s="131"/>
      <c r="D35" s="146"/>
      <c r="E35" s="145"/>
      <c r="F35" s="145"/>
      <c r="G35" s="143"/>
      <c r="H35" s="127"/>
      <c r="I35" s="127"/>
    </row>
    <row r="36" spans="1:9" ht="11.25">
      <c r="A36" s="144"/>
      <c r="B36" s="137"/>
      <c r="C36" s="131"/>
      <c r="D36" s="122"/>
      <c r="E36" s="145"/>
      <c r="F36" s="145"/>
      <c r="G36" s="143"/>
      <c r="H36" s="127"/>
      <c r="I36" s="127"/>
    </row>
    <row r="37" spans="1:9" ht="11.25">
      <c r="A37" s="147"/>
      <c r="B37" s="131"/>
      <c r="C37" s="131"/>
      <c r="F37" s="90"/>
      <c r="H37" s="127"/>
      <c r="I37" s="127"/>
    </row>
    <row r="38" spans="1:9" ht="11.25">
      <c r="A38" s="148"/>
      <c r="F38" s="90"/>
      <c r="G38" s="140"/>
      <c r="H38" s="127"/>
      <c r="I38" s="127"/>
    </row>
    <row r="39" spans="1:9" ht="11.25">
      <c r="A39" s="149"/>
      <c r="F39" s="90"/>
      <c r="G39" s="140"/>
      <c r="H39" s="127"/>
      <c r="I39" s="127"/>
    </row>
    <row r="40" spans="1:9" ht="11.25">
      <c r="A40" s="129"/>
      <c r="F40" s="90"/>
      <c r="H40" s="127"/>
      <c r="I40" s="127"/>
    </row>
    <row r="41" spans="1:9" ht="11.25">
      <c r="A41" s="149"/>
      <c r="F41" s="90"/>
      <c r="H41" s="127"/>
      <c r="I41" s="127"/>
    </row>
    <row r="42" spans="1:8" ht="11.25">
      <c r="A42" s="149"/>
      <c r="F42" s="90"/>
      <c r="H42" s="127"/>
    </row>
    <row r="43" ht="11.25">
      <c r="H43" s="127"/>
    </row>
    <row r="44" spans="2:9" ht="11.25">
      <c r="B44" s="150"/>
      <c r="C44" s="150"/>
      <c r="D44" s="151"/>
      <c r="E44" s="145"/>
      <c r="F44" s="152"/>
      <c r="G44" s="152"/>
      <c r="H44" s="152"/>
      <c r="I44" s="152"/>
    </row>
    <row r="45" spans="1:9" ht="11.25">
      <c r="A45" s="153"/>
      <c r="B45" s="150"/>
      <c r="C45" s="150"/>
      <c r="D45" s="151"/>
      <c r="E45" s="145"/>
      <c r="F45" s="152"/>
      <c r="G45" s="152"/>
      <c r="H45" s="152"/>
      <c r="I45" s="152"/>
    </row>
    <row r="46" ht="11.25">
      <c r="A46" s="153"/>
    </row>
    <row r="48" ht="11.25">
      <c r="A48" s="129"/>
    </row>
    <row r="49" spans="1:4" ht="11.25">
      <c r="A49" s="149"/>
      <c r="B49" s="154"/>
      <c r="C49" s="154"/>
      <c r="D49" s="155"/>
    </row>
    <row r="50" spans="1:8" ht="11.25">
      <c r="A50" s="149"/>
      <c r="B50" s="154"/>
      <c r="C50" s="154"/>
      <c r="D50" s="155"/>
      <c r="H50" s="127"/>
    </row>
    <row r="51" spans="1:4" ht="11.25">
      <c r="A51" s="149"/>
      <c r="B51" s="156"/>
      <c r="C51" s="156"/>
      <c r="D51" s="157"/>
    </row>
    <row r="52" spans="1:4" ht="11.25">
      <c r="A52" s="158"/>
      <c r="B52" s="154"/>
      <c r="C52" s="154"/>
      <c r="D52" s="155"/>
    </row>
    <row r="53" ht="11.25">
      <c r="A53" s="149"/>
    </row>
  </sheetData>
  <sheetProtection sheet="1" objects="1" scenarios="1"/>
  <hyperlinks>
    <hyperlink ref="A4" r:id="rId1" display="Pour plus d'informations consultez le site : http://tramontane34.free.fr/ConsNavAm/telecharger-calcul-helices.php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V126"/>
  <sheetViews>
    <sheetView workbookViewId="0" topLeftCell="A53">
      <selection activeCell="A1" sqref="A1"/>
    </sheetView>
  </sheetViews>
  <sheetFormatPr defaultColWidth="11.421875" defaultRowHeight="12.75"/>
  <cols>
    <col min="1" max="1" width="10.57421875" style="36" customWidth="1"/>
    <col min="2" max="2" width="10.00390625" style="159" customWidth="1"/>
    <col min="3" max="3" width="0" style="160" hidden="1" customWidth="1"/>
    <col min="4" max="4" width="6.00390625" style="159" customWidth="1"/>
    <col min="5" max="5" width="0" style="42" hidden="1" customWidth="1"/>
    <col min="6" max="6" width="7.57421875" style="160" customWidth="1"/>
    <col min="7" max="7" width="0" style="161" hidden="1" customWidth="1"/>
    <col min="8" max="8" width="9.28125" style="161" customWidth="1"/>
    <col min="9" max="9" width="8.140625" style="160" customWidth="1"/>
    <col min="10" max="11" width="0" style="160" hidden="1" customWidth="1"/>
    <col min="12" max="12" width="6.57421875" style="162" customWidth="1"/>
    <col min="13" max="13" width="8.140625" style="160" customWidth="1"/>
    <col min="14" max="15" width="0" style="163" hidden="1" customWidth="1"/>
    <col min="16" max="16" width="9.28125" style="164" customWidth="1"/>
    <col min="17" max="17" width="6.7109375" style="164" customWidth="1"/>
    <col min="18" max="18" width="6.140625" style="162" customWidth="1"/>
    <col min="19" max="19" width="0" style="164" hidden="1" customWidth="1"/>
    <col min="20" max="20" width="9.140625" style="162" customWidth="1"/>
    <col min="21" max="21" width="0" style="165" hidden="1" customWidth="1"/>
    <col min="22" max="22" width="0" style="162" hidden="1" customWidth="1"/>
    <col min="23" max="23" width="10.421875" style="162" customWidth="1"/>
    <col min="24" max="24" width="7.421875" style="164" customWidth="1"/>
    <col min="25" max="25" width="7.421875" style="162" customWidth="1"/>
    <col min="26" max="26" width="8.57421875" style="162" customWidth="1"/>
    <col min="27" max="27" width="9.28125" style="166" customWidth="1"/>
    <col min="28" max="28" width="6.7109375" style="164" customWidth="1"/>
    <col min="29" max="30" width="5.140625" style="164" customWidth="1"/>
    <col min="31" max="31" width="8.140625" style="164" customWidth="1"/>
    <col min="32" max="32" width="6.00390625" style="164" customWidth="1"/>
    <col min="33" max="33" width="9.28125" style="164" customWidth="1"/>
    <col min="34" max="34" width="6.7109375" style="164" customWidth="1"/>
    <col min="35" max="35" width="5.140625" style="164" customWidth="1"/>
    <col min="36" max="36" width="5.140625" style="36" customWidth="1"/>
    <col min="37" max="37" width="8.140625" style="36" customWidth="1"/>
    <col min="38" max="38" width="6.00390625" style="36" customWidth="1"/>
    <col min="39" max="39" width="9.28125" style="36" customWidth="1"/>
    <col min="40" max="40" width="6.7109375" style="36" customWidth="1"/>
    <col min="41" max="42" width="5.140625" style="36" customWidth="1"/>
    <col min="43" max="43" width="8.140625" style="36" customWidth="1"/>
    <col min="44" max="44" width="6.00390625" style="36" customWidth="1"/>
    <col min="45" max="45" width="9.28125" style="36" customWidth="1"/>
    <col min="46" max="46" width="6.7109375" style="36" customWidth="1"/>
    <col min="47" max="47" width="5.140625" style="36" customWidth="1"/>
    <col min="48" max="16384" width="11.421875" style="36" customWidth="1"/>
  </cols>
  <sheetData>
    <row r="1" spans="1:47" s="73" customFormat="1" ht="18">
      <c r="A1" s="167" t="s">
        <v>145</v>
      </c>
      <c r="B1" s="168"/>
      <c r="C1" s="169"/>
      <c r="E1" s="170"/>
      <c r="G1" s="171"/>
      <c r="I1" s="172" t="s">
        <v>146</v>
      </c>
      <c r="J1" s="173"/>
      <c r="K1" s="173"/>
      <c r="L1" s="174">
        <f>'PAS &amp; DIAMETRE'!F16</f>
        <v>19.02305915868084</v>
      </c>
      <c r="M1" s="175" t="s">
        <v>147</v>
      </c>
      <c r="N1" s="176"/>
      <c r="O1" s="176"/>
      <c r="P1" s="174">
        <f>'PAS &amp; DIAMETRE'!F18</f>
        <v>17.002080344304122</v>
      </c>
      <c r="Q1" s="169"/>
      <c r="R1" s="177"/>
      <c r="S1" s="165"/>
      <c r="T1" s="177"/>
      <c r="U1" s="165"/>
      <c r="V1" s="177"/>
      <c r="W1" s="177"/>
      <c r="X1" s="169"/>
      <c r="Y1" s="178"/>
      <c r="Z1" s="177"/>
      <c r="AA1" s="169"/>
      <c r="AB1" s="169"/>
      <c r="AC1" s="177"/>
      <c r="AD1" s="169"/>
      <c r="AE1" s="179"/>
      <c r="AF1"/>
      <c r="AG1"/>
      <c r="AH1"/>
      <c r="AI1"/>
      <c r="AJ1" s="169"/>
      <c r="AK1" s="179"/>
      <c r="AL1" s="165"/>
      <c r="AM1" s="169"/>
      <c r="AN1" s="169"/>
      <c r="AO1" s="177"/>
      <c r="AP1" s="169"/>
      <c r="AQ1" s="179"/>
      <c r="AR1" s="165"/>
      <c r="AS1" s="169"/>
      <c r="AT1" s="169"/>
      <c r="AU1" s="177"/>
    </row>
    <row r="2" spans="2:47" s="73" customFormat="1" ht="12.75">
      <c r="B2" s="168"/>
      <c r="C2" s="169"/>
      <c r="E2" s="170"/>
      <c r="F2" s="179" t="s">
        <v>148</v>
      </c>
      <c r="G2" s="180"/>
      <c r="H2" s="181">
        <f>'PAS &amp; DIAMETRE'!E10</f>
        <v>52.92</v>
      </c>
      <c r="J2" s="169"/>
      <c r="K2" s="169"/>
      <c r="L2" s="177"/>
      <c r="N2" s="177"/>
      <c r="O2" s="177"/>
      <c r="Q2" s="169"/>
      <c r="R2" s="177"/>
      <c r="S2" s="165"/>
      <c r="T2" s="177"/>
      <c r="U2" s="165"/>
      <c r="V2" s="177"/>
      <c r="W2" s="177"/>
      <c r="X2" s="169"/>
      <c r="Y2" s="178"/>
      <c r="Z2" s="177"/>
      <c r="AA2" s="169"/>
      <c r="AB2" s="169"/>
      <c r="AC2" s="177"/>
      <c r="AD2" s="169"/>
      <c r="AE2" s="179"/>
      <c r="AF2"/>
      <c r="AG2"/>
      <c r="AH2"/>
      <c r="AI2"/>
      <c r="AJ2" s="169"/>
      <c r="AK2" s="179"/>
      <c r="AL2" s="165"/>
      <c r="AM2" s="169"/>
      <c r="AN2" s="169"/>
      <c r="AO2" s="177"/>
      <c r="AP2" s="169"/>
      <c r="AQ2" s="179"/>
      <c r="AR2" s="165"/>
      <c r="AS2" s="169"/>
      <c r="AT2" s="169"/>
      <c r="AU2" s="177"/>
    </row>
    <row r="3" spans="1:47" s="73" customFormat="1" ht="12.75">
      <c r="A3" s="182" t="s">
        <v>147</v>
      </c>
      <c r="B3" s="183">
        <f>'PAS &amp; DIAMETRE'!E18</f>
        <v>0.43185284074532465</v>
      </c>
      <c r="C3" s="169"/>
      <c r="E3" s="170"/>
      <c r="F3" s="175" t="s">
        <v>149</v>
      </c>
      <c r="G3" s="180"/>
      <c r="H3" s="184">
        <f>'PAS &amp; DIAMETRE'!B17</f>
        <v>3000</v>
      </c>
      <c r="I3" s="185" t="s">
        <v>150</v>
      </c>
      <c r="J3" s="186"/>
      <c r="K3" s="186"/>
      <c r="L3" s="187"/>
      <c r="M3" s="188"/>
      <c r="N3" s="187"/>
      <c r="O3" s="187"/>
      <c r="P3" s="188"/>
      <c r="Q3" s="186"/>
      <c r="R3" s="187"/>
      <c r="S3" s="189"/>
      <c r="T3" s="187"/>
      <c r="U3" s="189"/>
      <c r="V3" s="187"/>
      <c r="W3" s="187"/>
      <c r="X3" s="186"/>
      <c r="Y3" s="190"/>
      <c r="Z3" s="177"/>
      <c r="AA3" s="169"/>
      <c r="AB3" s="169"/>
      <c r="AC3" s="177"/>
      <c r="AD3" s="169"/>
      <c r="AE3" s="179"/>
      <c r="AF3"/>
      <c r="AG3"/>
      <c r="AH3"/>
      <c r="AI3"/>
      <c r="AJ3" s="169"/>
      <c r="AK3" s="179"/>
      <c r="AL3" s="165"/>
      <c r="AM3" s="169"/>
      <c r="AN3" s="169"/>
      <c r="AO3" s="177"/>
      <c r="AP3" s="169"/>
      <c r="AQ3" s="179"/>
      <c r="AR3" s="165"/>
      <c r="AS3" s="169"/>
      <c r="AT3" s="169"/>
      <c r="AU3" s="177"/>
    </row>
    <row r="4" spans="1:47" s="73" customFormat="1" ht="12.75">
      <c r="A4" s="191" t="s">
        <v>151</v>
      </c>
      <c r="B4" s="192">
        <f>'PAS &amp; DIAMETRE'!E19*'PAS &amp; DIAMETRE'!B18/'PAS &amp; DIAMETRE'!B19</f>
        <v>2.2378797882013406</v>
      </c>
      <c r="C4" s="193"/>
      <c r="E4" s="170"/>
      <c r="F4" s="194" t="s">
        <v>152</v>
      </c>
      <c r="G4" s="194"/>
      <c r="H4" s="195">
        <v>1000</v>
      </c>
      <c r="I4" s="185" t="s">
        <v>153</v>
      </c>
      <c r="J4" s="186"/>
      <c r="K4" s="186"/>
      <c r="L4" s="187"/>
      <c r="M4" s="188"/>
      <c r="N4" s="187"/>
      <c r="O4" s="187"/>
      <c r="P4" s="188"/>
      <c r="Q4" s="186"/>
      <c r="R4" s="187"/>
      <c r="S4" s="189"/>
      <c r="T4" s="187"/>
      <c r="U4" s="189"/>
      <c r="V4" s="187"/>
      <c r="W4" s="187"/>
      <c r="X4" s="188"/>
      <c r="Y4" s="196"/>
      <c r="Z4" s="197"/>
      <c r="AA4" s="169"/>
      <c r="AB4" s="169"/>
      <c r="AC4" s="177"/>
      <c r="AE4" s="194"/>
      <c r="AF4"/>
      <c r="AG4"/>
      <c r="AH4"/>
      <c r="AI4"/>
      <c r="AK4" s="194"/>
      <c r="AL4" s="198"/>
      <c r="AM4" s="169"/>
      <c r="AN4" s="169"/>
      <c r="AO4" s="177"/>
      <c r="AQ4" s="194"/>
      <c r="AR4" s="198"/>
      <c r="AS4" s="169"/>
      <c r="AT4" s="169"/>
      <c r="AU4" s="177"/>
    </row>
    <row r="5" spans="1:47" s="73" customFormat="1" ht="12.75">
      <c r="A5" s="182" t="s">
        <v>154</v>
      </c>
      <c r="B5" s="199">
        <f>'PAS &amp; DIAMETRE'!E16</f>
        <v>0.4831857026304933</v>
      </c>
      <c r="C5" s="193"/>
      <c r="E5" s="170"/>
      <c r="F5" s="175" t="s">
        <v>155</v>
      </c>
      <c r="G5" s="180"/>
      <c r="H5" s="200">
        <f>3.14*B5*B5/4</f>
        <v>0.18327271223282096</v>
      </c>
      <c r="L5" s="177"/>
      <c r="N5" s="177"/>
      <c r="O5" s="177"/>
      <c r="R5" s="177"/>
      <c r="S5" s="165"/>
      <c r="T5" s="177"/>
      <c r="U5" s="165"/>
      <c r="V5" s="177"/>
      <c r="W5" s="177"/>
      <c r="Y5" s="178"/>
      <c r="Z5" s="197"/>
      <c r="AA5" s="169"/>
      <c r="AC5" s="177"/>
      <c r="AE5" s="175"/>
      <c r="AF5"/>
      <c r="AG5"/>
      <c r="AH5"/>
      <c r="AI5"/>
      <c r="AK5" s="175"/>
      <c r="AL5" s="201"/>
      <c r="AO5" s="177"/>
      <c r="AQ5" s="175"/>
      <c r="AR5" s="201"/>
      <c r="AU5" s="177"/>
    </row>
    <row r="6" spans="1:47" s="73" customFormat="1" ht="13.5">
      <c r="A6" s="182" t="s">
        <v>156</v>
      </c>
      <c r="B6" s="183">
        <f>'PAS &amp; DIAMETRE'!B18</f>
        <v>0.27</v>
      </c>
      <c r="C6" s="193"/>
      <c r="E6" s="170"/>
      <c r="F6" s="202" t="s">
        <v>157</v>
      </c>
      <c r="G6" s="194"/>
      <c r="H6" s="183">
        <f>H5*H4/2</f>
        <v>91.63635611641048</v>
      </c>
      <c r="I6" s="203" t="s">
        <v>158</v>
      </c>
      <c r="J6" s="203"/>
      <c r="K6" s="203"/>
      <c r="L6" s="177"/>
      <c r="N6" s="177"/>
      <c r="O6" s="177"/>
      <c r="Q6" s="204"/>
      <c r="R6" s="197"/>
      <c r="S6" s="205"/>
      <c r="T6" s="197"/>
      <c r="U6" s="205"/>
      <c r="V6" s="197"/>
      <c r="W6" s="197"/>
      <c r="Y6" s="206"/>
      <c r="Z6" s="197"/>
      <c r="AA6" s="173"/>
      <c r="AB6" s="204"/>
      <c r="AC6" s="197"/>
      <c r="AE6" s="202"/>
      <c r="AF6"/>
      <c r="AG6"/>
      <c r="AH6"/>
      <c r="AI6"/>
      <c r="AK6" s="202"/>
      <c r="AL6" s="204"/>
      <c r="AM6" s="203"/>
      <c r="AN6" s="204"/>
      <c r="AO6" s="197"/>
      <c r="AQ6" s="202"/>
      <c r="AR6" s="204"/>
      <c r="AS6" s="203"/>
      <c r="AT6" s="204"/>
      <c r="AU6" s="197"/>
    </row>
    <row r="7" spans="1:47" s="73" customFormat="1" ht="12.75">
      <c r="A7" s="172" t="s">
        <v>159</v>
      </c>
      <c r="B7" s="199">
        <f>'PAS &amp; DIAMETRE'!B16</f>
        <v>0.4405</v>
      </c>
      <c r="C7" s="193"/>
      <c r="E7" s="170"/>
      <c r="F7" s="172" t="s">
        <v>160</v>
      </c>
      <c r="G7" s="207"/>
      <c r="H7" s="208">
        <v>0.515</v>
      </c>
      <c r="I7" s="203" t="s">
        <v>161</v>
      </c>
      <c r="J7" s="203"/>
      <c r="K7" s="203"/>
      <c r="L7" s="177"/>
      <c r="N7" s="177"/>
      <c r="O7" s="177"/>
      <c r="Q7" s="203"/>
      <c r="R7" s="176"/>
      <c r="S7" s="203"/>
      <c r="T7" s="176"/>
      <c r="U7" s="203"/>
      <c r="V7" s="176"/>
      <c r="W7" s="176"/>
      <c r="Y7" s="209"/>
      <c r="Z7" s="197"/>
      <c r="AA7" s="173"/>
      <c r="AB7" s="203"/>
      <c r="AC7" s="176"/>
      <c r="AE7" s="210"/>
      <c r="AF7"/>
      <c r="AG7"/>
      <c r="AH7"/>
      <c r="AI7"/>
      <c r="AK7" s="210"/>
      <c r="AL7" s="204"/>
      <c r="AM7" s="203"/>
      <c r="AN7" s="203"/>
      <c r="AO7" s="176"/>
      <c r="AQ7" s="210"/>
      <c r="AR7" s="204"/>
      <c r="AS7" s="203"/>
      <c r="AT7" s="203"/>
      <c r="AU7" s="176"/>
    </row>
    <row r="8" spans="1:47" s="73" customFormat="1" ht="12.75">
      <c r="A8" s="172"/>
      <c r="B8" s="211"/>
      <c r="C8" s="211"/>
      <c r="E8" s="170"/>
      <c r="F8" s="172" t="s">
        <v>162</v>
      </c>
      <c r="G8" s="207"/>
      <c r="H8" s="212">
        <v>0.5</v>
      </c>
      <c r="I8" s="203"/>
      <c r="J8" s="203"/>
      <c r="K8" s="203"/>
      <c r="L8" s="177"/>
      <c r="N8" s="177"/>
      <c r="O8" s="177"/>
      <c r="Q8" s="203"/>
      <c r="R8" s="176"/>
      <c r="S8" s="203"/>
      <c r="T8" s="176"/>
      <c r="U8" s="203"/>
      <c r="V8" s="176"/>
      <c r="W8" s="176"/>
      <c r="Y8" s="209"/>
      <c r="Z8" s="197"/>
      <c r="AA8" s="173"/>
      <c r="AB8" s="203"/>
      <c r="AC8" s="176"/>
      <c r="AE8" s="210"/>
      <c r="AF8"/>
      <c r="AG8"/>
      <c r="AH8"/>
      <c r="AI8"/>
      <c r="AK8" s="210"/>
      <c r="AL8" s="204"/>
      <c r="AM8" s="203"/>
      <c r="AN8" s="203"/>
      <c r="AO8" s="176"/>
      <c r="AQ8" s="210"/>
      <c r="AR8" s="204"/>
      <c r="AS8" s="203"/>
      <c r="AT8" s="203"/>
      <c r="AU8" s="176"/>
    </row>
    <row r="9" spans="1:47" s="73" customFormat="1" ht="12.75">
      <c r="A9" s="213" t="s">
        <v>163</v>
      </c>
      <c r="B9" s="211"/>
      <c r="C9" s="211"/>
      <c r="E9" s="170"/>
      <c r="F9" s="210"/>
      <c r="G9" s="207"/>
      <c r="H9" s="204"/>
      <c r="I9" s="203"/>
      <c r="J9" s="203"/>
      <c r="K9" s="203"/>
      <c r="L9" s="177"/>
      <c r="N9" s="177"/>
      <c r="O9" s="177"/>
      <c r="Q9" s="203"/>
      <c r="R9" s="176"/>
      <c r="S9" s="203"/>
      <c r="T9" s="176"/>
      <c r="U9" s="203"/>
      <c r="V9" s="176"/>
      <c r="W9" s="176"/>
      <c r="Y9" s="209"/>
      <c r="Z9" s="197"/>
      <c r="AA9" s="173"/>
      <c r="AB9" s="203"/>
      <c r="AC9" s="176"/>
      <c r="AE9" s="210"/>
      <c r="AF9"/>
      <c r="AG9"/>
      <c r="AH9"/>
      <c r="AI9"/>
      <c r="AK9" s="210"/>
      <c r="AL9" s="204"/>
      <c r="AM9" s="203"/>
      <c r="AN9" s="203"/>
      <c r="AO9" s="176"/>
      <c r="AQ9" s="210"/>
      <c r="AR9" s="204"/>
      <c r="AS9" s="203"/>
      <c r="AT9" s="203"/>
      <c r="AU9" s="176"/>
    </row>
    <row r="10" spans="2:41" s="76" customFormat="1" ht="12.75">
      <c r="B10" s="214"/>
      <c r="C10" s="173"/>
      <c r="D10" s="214"/>
      <c r="E10" s="215"/>
      <c r="G10" s="216"/>
      <c r="L10" s="177"/>
      <c r="N10" s="176"/>
      <c r="O10" s="176"/>
      <c r="Q10" s="203"/>
      <c r="R10" s="176"/>
      <c r="S10" s="203"/>
      <c r="T10" s="176"/>
      <c r="U10" s="203"/>
      <c r="V10" s="176"/>
      <c r="W10" s="176"/>
      <c r="X10" s="203"/>
      <c r="Y10" s="176"/>
      <c r="Z10" s="176"/>
      <c r="AA10" s="173"/>
      <c r="AB10" s="203"/>
      <c r="AC10" s="203"/>
      <c r="AD10" s="203"/>
      <c r="AE10" s="203"/>
      <c r="AF10"/>
      <c r="AG10"/>
      <c r="AH10"/>
      <c r="AI10"/>
      <c r="AJ10" s="203"/>
      <c r="AK10" s="203"/>
      <c r="AL10" s="203"/>
      <c r="AM10" s="203"/>
      <c r="AN10" s="203"/>
      <c r="AO10" s="203"/>
    </row>
    <row r="11" spans="1:47" s="73" customFormat="1" ht="12.75">
      <c r="A11" s="217" t="s">
        <v>164</v>
      </c>
      <c r="B11" s="188"/>
      <c r="C11" s="218"/>
      <c r="D11" s="219"/>
      <c r="E11" s="170"/>
      <c r="F11" s="218"/>
      <c r="G11" s="216"/>
      <c r="H11" s="171"/>
      <c r="I11" s="169"/>
      <c r="L11" s="179" t="s">
        <v>165</v>
      </c>
      <c r="M11" s="220">
        <f>'PAS &amp; DIAMETRE'!E14</f>
        <v>6.4239999999999995</v>
      </c>
      <c r="N11" s="177"/>
      <c r="O11" s="177"/>
      <c r="P11" s="175" t="s">
        <v>166</v>
      </c>
      <c r="Q11" s="212">
        <f>1.33*M11/'PAS &amp; DIAMETRE'!E12</f>
        <v>0.9336092438643284</v>
      </c>
      <c r="R11" s="197"/>
      <c r="S11" s="205"/>
      <c r="T11" s="212" t="s">
        <v>167</v>
      </c>
      <c r="U11" s="205"/>
      <c r="V11" s="197"/>
      <c r="W11" s="197"/>
      <c r="X11"/>
      <c r="Y11" s="221"/>
      <c r="Z11" s="221"/>
      <c r="AA11" s="222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</row>
    <row r="12" spans="2:47" s="223" customFormat="1" ht="12.75">
      <c r="B12" s="224" t="s">
        <v>168</v>
      </c>
      <c r="C12" s="225" t="s">
        <v>169</v>
      </c>
      <c r="D12" s="226" t="s">
        <v>170</v>
      </c>
      <c r="E12" s="227" t="s">
        <v>171</v>
      </c>
      <c r="F12" s="225" t="s">
        <v>172</v>
      </c>
      <c r="G12" s="228" t="s">
        <v>173</v>
      </c>
      <c r="H12" s="228" t="s">
        <v>174</v>
      </c>
      <c r="I12" s="229" t="s">
        <v>175</v>
      </c>
      <c r="J12" s="230" t="s">
        <v>176</v>
      </c>
      <c r="K12" s="225" t="s">
        <v>177</v>
      </c>
      <c r="L12" s="231" t="s">
        <v>178</v>
      </c>
      <c r="M12" s="225" t="s">
        <v>179</v>
      </c>
      <c r="N12" s="231" t="s">
        <v>180</v>
      </c>
      <c r="O12" s="232" t="s">
        <v>181</v>
      </c>
      <c r="P12" s="233" t="s">
        <v>182</v>
      </c>
      <c r="Q12" s="234" t="s">
        <v>183</v>
      </c>
      <c r="R12" s="235" t="s">
        <v>184</v>
      </c>
      <c r="S12" s="236" t="s">
        <v>185</v>
      </c>
      <c r="T12" s="237" t="s">
        <v>186</v>
      </c>
      <c r="U12" s="238"/>
      <c r="V12" s="239" t="s">
        <v>187</v>
      </c>
      <c r="W12" s="235"/>
      <c r="X12"/>
      <c r="Y12" s="240" t="s">
        <v>52</v>
      </c>
      <c r="Z12" s="240" t="s">
        <v>53</v>
      </c>
      <c r="AA12" s="222"/>
      <c r="AB12"/>
      <c r="AC12"/>
      <c r="AD12"/>
      <c r="AE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</row>
    <row r="13" spans="2:47" s="223" customFormat="1" ht="12.75" hidden="1">
      <c r="B13" s="241"/>
      <c r="C13" s="242">
        <f>H2*1000/H3</f>
        <v>17.64</v>
      </c>
      <c r="D13" s="243"/>
      <c r="E13" s="244">
        <f>B7</f>
        <v>0.4405</v>
      </c>
      <c r="F13" s="245"/>
      <c r="G13" s="246">
        <f>B3/60</f>
        <v>0.007197547345755411</v>
      </c>
      <c r="H13" s="246"/>
      <c r="I13" s="247"/>
      <c r="J13" s="248">
        <f>M11</f>
        <v>6.4239999999999995</v>
      </c>
      <c r="K13" s="242">
        <f>B4</f>
        <v>2.2378797882013406</v>
      </c>
      <c r="L13" s="249"/>
      <c r="M13" s="245"/>
      <c r="N13" s="249"/>
      <c r="O13" s="250">
        <f>H6</f>
        <v>91.63635611641048</v>
      </c>
      <c r="P13" s="251"/>
      <c r="Q13" s="252"/>
      <c r="R13" s="253"/>
      <c r="S13" s="254">
        <f>H5</f>
        <v>0.18327271223282096</v>
      </c>
      <c r="T13" s="255"/>
      <c r="U13" s="256"/>
      <c r="V13" s="257">
        <f>9.81*H4*H8</f>
        <v>4905</v>
      </c>
      <c r="W13" s="253"/>
      <c r="X13"/>
      <c r="Y13" s="258"/>
      <c r="Z13" s="259">
        <f aca="true" t="shared" si="0" ref="Z13:Z44">Y13/J13</f>
        <v>0</v>
      </c>
      <c r="AA13" s="222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</row>
    <row r="14" spans="2:47" s="260" customFormat="1" ht="12.75" hidden="1">
      <c r="B14" s="261">
        <v>0</v>
      </c>
      <c r="C14" s="262">
        <f aca="true" t="shared" si="1" ref="C14:C49">C13</f>
        <v>17.64</v>
      </c>
      <c r="D14" s="263">
        <f aca="true" t="shared" si="2" ref="D14:D24">C14*B14</f>
        <v>0</v>
      </c>
      <c r="E14" s="264">
        <f aca="true" t="shared" si="3" ref="E14:E49">E13</f>
        <v>0.4405</v>
      </c>
      <c r="F14" s="262">
        <f aca="true" t="shared" si="4" ref="F14:F49">E14*B14</f>
        <v>0</v>
      </c>
      <c r="G14" s="265">
        <f aca="true" t="shared" si="5" ref="G14:G49">G13</f>
        <v>0.007197547345755411</v>
      </c>
      <c r="H14" s="265">
        <f aca="true" t="shared" si="6" ref="H14:H49">G14*F14</f>
        <v>0</v>
      </c>
      <c r="I14" s="266">
        <f aca="true" t="shared" si="7" ref="I14:I49">H14*(3600/1852)</f>
        <v>0</v>
      </c>
      <c r="J14" s="267">
        <f aca="true" t="shared" si="8" ref="J14:J49">J13</f>
        <v>6.4239999999999995</v>
      </c>
      <c r="K14" s="262">
        <f aca="true" t="shared" si="9" ref="K14:K49">K13</f>
        <v>2.2378797882013406</v>
      </c>
      <c r="L14" s="162">
        <f aca="true" t="shared" si="10" ref="L14:L49">K14*(I14-J14)/100</f>
        <v>-0.14376139759405412</v>
      </c>
      <c r="M14" s="262">
        <f aca="true" t="shared" si="11" ref="M14:M49">(1-L14)*H14*(3600/1852)</f>
        <v>0</v>
      </c>
      <c r="N14" s="268">
        <f aca="true" t="shared" si="12" ref="N14:N49">2*M14-J14</f>
        <v>-6.4239999999999995</v>
      </c>
      <c r="O14" s="268">
        <f aca="true" t="shared" si="13" ref="O14:O49">O13</f>
        <v>91.63635611641048</v>
      </c>
      <c r="P14" s="269">
        <f aca="true" t="shared" si="14" ref="P14:P49">O14*((N14-J14)*(1852/3600))*((N14+J14)*(1852/3600))</f>
        <v>0</v>
      </c>
      <c r="Q14" s="270">
        <f aca="true" t="shared" si="15" ref="Q14:Q49">(P14*((N14+J14)*(1852/3600))/2)</f>
        <v>0</v>
      </c>
      <c r="R14" s="271"/>
      <c r="S14" s="272">
        <f aca="true" t="shared" si="16" ref="S14:S49">S13</f>
        <v>0.18327271223282096</v>
      </c>
      <c r="T14" s="165">
        <f>IF(P14/(2*S14)&lt;0.8*V13+101500,P14/(2*S14),"Cavitation ?")</f>
        <v>0</v>
      </c>
      <c r="V14" s="273">
        <f aca="true" t="shared" si="17" ref="V14:V49">V13</f>
        <v>4905</v>
      </c>
      <c r="W14" s="274"/>
      <c r="X14"/>
      <c r="Y14" s="258"/>
      <c r="Z14" s="259">
        <f t="shared" si="0"/>
        <v>0</v>
      </c>
      <c r="AA14" s="222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2:47" s="260" customFormat="1" ht="12.75" hidden="1">
      <c r="B15" s="261">
        <v>100</v>
      </c>
      <c r="C15" s="262">
        <f t="shared" si="1"/>
        <v>17.64</v>
      </c>
      <c r="D15" s="263">
        <f t="shared" si="2"/>
        <v>1764</v>
      </c>
      <c r="E15" s="264">
        <f t="shared" si="3"/>
        <v>0.4405</v>
      </c>
      <c r="F15" s="262">
        <f t="shared" si="4"/>
        <v>44.05</v>
      </c>
      <c r="G15" s="265">
        <f t="shared" si="5"/>
        <v>0.007197547345755411</v>
      </c>
      <c r="H15" s="265">
        <f t="shared" si="6"/>
        <v>0.3170519605805258</v>
      </c>
      <c r="I15" s="266">
        <f t="shared" si="7"/>
        <v>0.6162997073919508</v>
      </c>
      <c r="J15" s="267">
        <f t="shared" si="8"/>
        <v>6.4239999999999995</v>
      </c>
      <c r="K15" s="262">
        <f t="shared" si="9"/>
        <v>2.2378797882013406</v>
      </c>
      <c r="L15" s="162">
        <f t="shared" si="10"/>
        <v>-0.12996935100758564</v>
      </c>
      <c r="M15" s="262">
        <f t="shared" si="11"/>
        <v>0.6963997803878476</v>
      </c>
      <c r="N15" s="268">
        <f t="shared" si="12"/>
        <v>-5.031200439224304</v>
      </c>
      <c r="O15" s="268">
        <f t="shared" si="13"/>
        <v>91.63635611641048</v>
      </c>
      <c r="P15" s="269">
        <f t="shared" si="14"/>
        <v>-386.9332831212737</v>
      </c>
      <c r="Q15" s="270">
        <f t="shared" si="15"/>
        <v>-138.62233035528556</v>
      </c>
      <c r="R15" s="271">
        <f aca="true" t="shared" si="18" ref="R15:R49">J15/M15</f>
        <v>9.224586481664693</v>
      </c>
      <c r="S15" s="272">
        <f t="shared" si="16"/>
        <v>0.18327271223282096</v>
      </c>
      <c r="T15" s="165">
        <f aca="true" t="shared" si="19" ref="T15:T49">IF(P15/(2*S15)&lt;0.8*V15+101500,P15/(2*S15),"Cavitation ?")</f>
        <v>-1055.6216427618858</v>
      </c>
      <c r="V15" s="273">
        <f t="shared" si="17"/>
        <v>4905</v>
      </c>
      <c r="W15" s="274"/>
      <c r="X15"/>
      <c r="Y15" s="258"/>
      <c r="Z15" s="259">
        <f t="shared" si="0"/>
        <v>0</v>
      </c>
      <c r="AA15" s="222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2:47" s="260" customFormat="1" ht="12.75" hidden="1">
      <c r="B16" s="261">
        <v>200</v>
      </c>
      <c r="C16" s="262">
        <f t="shared" si="1"/>
        <v>17.64</v>
      </c>
      <c r="D16" s="263">
        <f t="shared" si="2"/>
        <v>3528</v>
      </c>
      <c r="E16" s="264">
        <f t="shared" si="3"/>
        <v>0.4405</v>
      </c>
      <c r="F16" s="262">
        <f t="shared" si="4"/>
        <v>88.1</v>
      </c>
      <c r="G16" s="265">
        <f t="shared" si="5"/>
        <v>0.007197547345755411</v>
      </c>
      <c r="H16" s="265">
        <f t="shared" si="6"/>
        <v>0.6341039211610516</v>
      </c>
      <c r="I16" s="266">
        <f t="shared" si="7"/>
        <v>1.2325994147839017</v>
      </c>
      <c r="J16" s="267">
        <f t="shared" si="8"/>
        <v>6.4239999999999995</v>
      </c>
      <c r="K16" s="262">
        <f t="shared" si="9"/>
        <v>2.2378797882013406</v>
      </c>
      <c r="L16" s="162">
        <f t="shared" si="10"/>
        <v>-0.11617730442111716</v>
      </c>
      <c r="M16" s="262">
        <f t="shared" si="11"/>
        <v>1.3757994922245418</v>
      </c>
      <c r="N16" s="268">
        <f t="shared" si="12"/>
        <v>-3.672401015550916</v>
      </c>
      <c r="O16" s="268">
        <f t="shared" si="13"/>
        <v>91.63635611641048</v>
      </c>
      <c r="P16" s="269">
        <f t="shared" si="14"/>
        <v>-673.7464762391467</v>
      </c>
      <c r="Q16" s="270">
        <f t="shared" si="15"/>
        <v>-476.8591641474713</v>
      </c>
      <c r="R16" s="271">
        <f t="shared" si="18"/>
        <v>4.66928504938825</v>
      </c>
      <c r="S16" s="272">
        <f t="shared" si="16"/>
        <v>0.18327271223282096</v>
      </c>
      <c r="T16" s="165">
        <f t="shared" si="19"/>
        <v>-1838.0981762938366</v>
      </c>
      <c r="V16" s="273">
        <f t="shared" si="17"/>
        <v>4905</v>
      </c>
      <c r="W16" s="274"/>
      <c r="X16"/>
      <c r="Y16" s="258"/>
      <c r="Z16" s="259">
        <f t="shared" si="0"/>
        <v>0</v>
      </c>
      <c r="AA16" s="222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spans="2:47" s="260" customFormat="1" ht="12.75" hidden="1">
      <c r="B17" s="261">
        <v>300</v>
      </c>
      <c r="C17" s="262">
        <f t="shared" si="1"/>
        <v>17.64</v>
      </c>
      <c r="D17" s="263">
        <f t="shared" si="2"/>
        <v>5292</v>
      </c>
      <c r="E17" s="264">
        <f t="shared" si="3"/>
        <v>0.4405</v>
      </c>
      <c r="F17" s="262">
        <f t="shared" si="4"/>
        <v>132.15</v>
      </c>
      <c r="G17" s="265">
        <f t="shared" si="5"/>
        <v>0.007197547345755411</v>
      </c>
      <c r="H17" s="265">
        <f t="shared" si="6"/>
        <v>0.9511558817415776</v>
      </c>
      <c r="I17" s="266">
        <f t="shared" si="7"/>
        <v>1.8488991221758526</v>
      </c>
      <c r="J17" s="267">
        <f t="shared" si="8"/>
        <v>6.4239999999999995</v>
      </c>
      <c r="K17" s="262">
        <f t="shared" si="9"/>
        <v>2.2378797882013406</v>
      </c>
      <c r="L17" s="162">
        <f t="shared" si="10"/>
        <v>-0.10238525783464869</v>
      </c>
      <c r="M17" s="262">
        <f t="shared" si="11"/>
        <v>2.038199135510083</v>
      </c>
      <c r="N17" s="268">
        <f t="shared" si="12"/>
        <v>-2.347601728979834</v>
      </c>
      <c r="O17" s="268">
        <f t="shared" si="13"/>
        <v>91.63635611641048</v>
      </c>
      <c r="P17" s="269">
        <f t="shared" si="14"/>
        <v>-867.1620984896999</v>
      </c>
      <c r="Q17" s="270">
        <f t="shared" si="15"/>
        <v>-909.2543392036908</v>
      </c>
      <c r="R17" s="271">
        <f t="shared" si="18"/>
        <v>3.1518019451972337</v>
      </c>
      <c r="S17" s="272">
        <f t="shared" si="16"/>
        <v>0.18327271223282096</v>
      </c>
      <c r="T17" s="165">
        <f t="shared" si="19"/>
        <v>-2365.7698080773157</v>
      </c>
      <c r="V17" s="273">
        <f t="shared" si="17"/>
        <v>4905</v>
      </c>
      <c r="W17" s="274"/>
      <c r="X17"/>
      <c r="Y17" s="258"/>
      <c r="Z17" s="259">
        <f t="shared" si="0"/>
        <v>0</v>
      </c>
      <c r="AA17" s="222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2:47" s="260" customFormat="1" ht="12.75" hidden="1">
      <c r="B18" s="261">
        <v>400</v>
      </c>
      <c r="C18" s="262">
        <f t="shared" si="1"/>
        <v>17.64</v>
      </c>
      <c r="D18" s="263">
        <f t="shared" si="2"/>
        <v>7056</v>
      </c>
      <c r="E18" s="264">
        <f t="shared" si="3"/>
        <v>0.4405</v>
      </c>
      <c r="F18" s="262">
        <f t="shared" si="4"/>
        <v>176.2</v>
      </c>
      <c r="G18" s="265">
        <f t="shared" si="5"/>
        <v>0.007197547345755411</v>
      </c>
      <c r="H18" s="265">
        <f t="shared" si="6"/>
        <v>1.2682078423221033</v>
      </c>
      <c r="I18" s="266">
        <f t="shared" si="7"/>
        <v>2.4651988295678033</v>
      </c>
      <c r="J18" s="267">
        <f t="shared" si="8"/>
        <v>6.4239999999999995</v>
      </c>
      <c r="K18" s="262">
        <f t="shared" si="9"/>
        <v>2.2378797882013406</v>
      </c>
      <c r="L18" s="162">
        <f t="shared" si="10"/>
        <v>-0.08859321124818022</v>
      </c>
      <c r="M18" s="262">
        <f t="shared" si="11"/>
        <v>2.68359871024447</v>
      </c>
      <c r="N18" s="268">
        <f t="shared" si="12"/>
        <v>-1.0568025795110598</v>
      </c>
      <c r="O18" s="268">
        <f t="shared" si="13"/>
        <v>91.63635611641048</v>
      </c>
      <c r="P18" s="269">
        <f t="shared" si="14"/>
        <v>-973.7344568591434</v>
      </c>
      <c r="Q18" s="270">
        <f t="shared" si="15"/>
        <v>-1344.3012250773666</v>
      </c>
      <c r="R18" s="271">
        <f t="shared" si="18"/>
        <v>2.3938005244512834</v>
      </c>
      <c r="S18" s="272">
        <f t="shared" si="16"/>
        <v>0.18327271223282096</v>
      </c>
      <c r="T18" s="165">
        <f t="shared" si="19"/>
        <v>-2656.5178334409034</v>
      </c>
      <c r="V18" s="273">
        <f t="shared" si="17"/>
        <v>4905</v>
      </c>
      <c r="W18" s="274"/>
      <c r="X18"/>
      <c r="Y18" s="258"/>
      <c r="Z18" s="259">
        <f t="shared" si="0"/>
        <v>0</v>
      </c>
      <c r="AA18" s="222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2:47" s="260" customFormat="1" ht="12.75" hidden="1">
      <c r="B19" s="261">
        <v>500</v>
      </c>
      <c r="C19" s="262">
        <f t="shared" si="1"/>
        <v>17.64</v>
      </c>
      <c r="D19" s="263">
        <f t="shared" si="2"/>
        <v>8820</v>
      </c>
      <c r="E19" s="264">
        <f t="shared" si="3"/>
        <v>0.4405</v>
      </c>
      <c r="F19" s="262">
        <f t="shared" si="4"/>
        <v>220.25</v>
      </c>
      <c r="G19" s="265">
        <f t="shared" si="5"/>
        <v>0.007197547345755411</v>
      </c>
      <c r="H19" s="265">
        <f t="shared" si="6"/>
        <v>1.5852598029026292</v>
      </c>
      <c r="I19" s="266">
        <f t="shared" si="7"/>
        <v>3.0814985369597543</v>
      </c>
      <c r="J19" s="267">
        <f t="shared" si="8"/>
        <v>6.4239999999999995</v>
      </c>
      <c r="K19" s="262">
        <f t="shared" si="9"/>
        <v>2.2378797882013406</v>
      </c>
      <c r="L19" s="162">
        <f t="shared" si="10"/>
        <v>-0.07480116466171176</v>
      </c>
      <c r="M19" s="262">
        <f t="shared" si="11"/>
        <v>3.3119982164277046</v>
      </c>
      <c r="N19" s="268">
        <f t="shared" si="12"/>
        <v>0.1999964328554098</v>
      </c>
      <c r="O19" s="268">
        <f t="shared" si="13"/>
        <v>91.63635611641048</v>
      </c>
      <c r="P19" s="269">
        <f t="shared" si="14"/>
        <v>-999.8496461838158</v>
      </c>
      <c r="Q19" s="270">
        <f t="shared" si="15"/>
        <v>-1703.5829037429312</v>
      </c>
      <c r="R19" s="271">
        <f t="shared" si="18"/>
        <v>1.9396145710878057</v>
      </c>
      <c r="S19" s="272">
        <f t="shared" si="16"/>
        <v>0.18327271223282096</v>
      </c>
      <c r="T19" s="165">
        <f t="shared" si="19"/>
        <v>-2727.764635560296</v>
      </c>
      <c r="V19" s="273">
        <f t="shared" si="17"/>
        <v>4905</v>
      </c>
      <c r="W19" s="274"/>
      <c r="X19"/>
      <c r="Y19" s="258"/>
      <c r="Z19" s="259">
        <f t="shared" si="0"/>
        <v>0</v>
      </c>
      <c r="AA19" s="222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</row>
    <row r="20" spans="2:47" s="260" customFormat="1" ht="12.75" hidden="1">
      <c r="B20" s="261">
        <v>600</v>
      </c>
      <c r="C20" s="262">
        <f t="shared" si="1"/>
        <v>17.64</v>
      </c>
      <c r="D20" s="263">
        <f t="shared" si="2"/>
        <v>10584</v>
      </c>
      <c r="E20" s="264">
        <f t="shared" si="3"/>
        <v>0.4405</v>
      </c>
      <c r="F20" s="262">
        <f t="shared" si="4"/>
        <v>264.3</v>
      </c>
      <c r="G20" s="265">
        <f t="shared" si="5"/>
        <v>0.007197547345755411</v>
      </c>
      <c r="H20" s="265">
        <f t="shared" si="6"/>
        <v>1.9023117634831552</v>
      </c>
      <c r="I20" s="266">
        <f t="shared" si="7"/>
        <v>3.6977982443517052</v>
      </c>
      <c r="J20" s="267">
        <f t="shared" si="8"/>
        <v>6.4239999999999995</v>
      </c>
      <c r="K20" s="262">
        <f t="shared" si="9"/>
        <v>2.2378797882013406</v>
      </c>
      <c r="L20" s="162">
        <f t="shared" si="10"/>
        <v>-0.06100911807524327</v>
      </c>
      <c r="M20" s="262">
        <f t="shared" si="11"/>
        <v>3.923397654059786</v>
      </c>
      <c r="N20" s="268">
        <f t="shared" si="12"/>
        <v>1.4227953081195723</v>
      </c>
      <c r="O20" s="268">
        <f t="shared" si="13"/>
        <v>91.63635611641048</v>
      </c>
      <c r="P20" s="269">
        <f t="shared" si="14"/>
        <v>-951.7255491501851</v>
      </c>
      <c r="Q20" s="270">
        <f t="shared" si="15"/>
        <v>-1920.9344170100542</v>
      </c>
      <c r="R20" s="271">
        <f t="shared" si="18"/>
        <v>1.6373563340827009</v>
      </c>
      <c r="S20" s="272">
        <f t="shared" si="16"/>
        <v>0.18327271223282096</v>
      </c>
      <c r="T20" s="165">
        <f t="shared" si="19"/>
        <v>-2596.473685458308</v>
      </c>
      <c r="V20" s="273">
        <f t="shared" si="17"/>
        <v>4905</v>
      </c>
      <c r="W20" s="274"/>
      <c r="X20"/>
      <c r="Y20" s="258"/>
      <c r="Z20" s="259">
        <f t="shared" si="0"/>
        <v>0</v>
      </c>
      <c r="AA20" s="222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</row>
    <row r="21" spans="2:47" s="260" customFormat="1" ht="12.75" hidden="1">
      <c r="B21" s="261">
        <v>700</v>
      </c>
      <c r="C21" s="262">
        <f t="shared" si="1"/>
        <v>17.64</v>
      </c>
      <c r="D21" s="263">
        <f t="shared" si="2"/>
        <v>12348</v>
      </c>
      <c r="E21" s="264">
        <f t="shared" si="3"/>
        <v>0.4405</v>
      </c>
      <c r="F21" s="262">
        <f t="shared" si="4"/>
        <v>308.35</v>
      </c>
      <c r="G21" s="265">
        <f t="shared" si="5"/>
        <v>0.007197547345755411</v>
      </c>
      <c r="H21" s="265">
        <f t="shared" si="6"/>
        <v>2.219363724063681</v>
      </c>
      <c r="I21" s="266">
        <f t="shared" si="7"/>
        <v>4.314097951743656</v>
      </c>
      <c r="J21" s="267">
        <f t="shared" si="8"/>
        <v>6.4239999999999995</v>
      </c>
      <c r="K21" s="262">
        <f t="shared" si="9"/>
        <v>2.2378797882013406</v>
      </c>
      <c r="L21" s="162">
        <f t="shared" si="10"/>
        <v>-0.04721707148877481</v>
      </c>
      <c r="M21" s="262">
        <f t="shared" si="11"/>
        <v>4.517797023140712</v>
      </c>
      <c r="N21" s="268">
        <f t="shared" si="12"/>
        <v>2.611594046281425</v>
      </c>
      <c r="O21" s="268">
        <f t="shared" si="13"/>
        <v>91.63635611641048</v>
      </c>
      <c r="P21" s="269">
        <f t="shared" si="14"/>
        <v>-835.4118362948484</v>
      </c>
      <c r="Q21" s="270">
        <f t="shared" si="15"/>
        <v>-1941.6270806573823</v>
      </c>
      <c r="R21" s="271">
        <f t="shared" si="18"/>
        <v>1.4219319653130675</v>
      </c>
      <c r="S21" s="272">
        <f t="shared" si="16"/>
        <v>0.18327271223282096</v>
      </c>
      <c r="T21" s="165">
        <f t="shared" si="19"/>
        <v>-2279.14954200487</v>
      </c>
      <c r="V21" s="273">
        <f t="shared" si="17"/>
        <v>4905</v>
      </c>
      <c r="W21" s="274"/>
      <c r="X21"/>
      <c r="Y21" s="258"/>
      <c r="Z21" s="259">
        <f t="shared" si="0"/>
        <v>0</v>
      </c>
      <c r="AA21" s="222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2:47" ht="12.75" hidden="1">
      <c r="B22" s="275">
        <v>800</v>
      </c>
      <c r="C22" s="262">
        <f t="shared" si="1"/>
        <v>17.64</v>
      </c>
      <c r="D22" s="263">
        <f t="shared" si="2"/>
        <v>14112</v>
      </c>
      <c r="E22" s="264">
        <f t="shared" si="3"/>
        <v>0.4405</v>
      </c>
      <c r="F22" s="262">
        <f t="shared" si="4"/>
        <v>352.4</v>
      </c>
      <c r="G22" s="265">
        <f t="shared" si="5"/>
        <v>0.007197547345755411</v>
      </c>
      <c r="H22" s="265">
        <f t="shared" si="6"/>
        <v>2.5364156846442065</v>
      </c>
      <c r="I22" s="276">
        <f t="shared" si="7"/>
        <v>4.930397659135607</v>
      </c>
      <c r="J22" s="267">
        <f t="shared" si="8"/>
        <v>6.4239999999999995</v>
      </c>
      <c r="K22" s="262">
        <f t="shared" si="9"/>
        <v>2.2378797882013406</v>
      </c>
      <c r="L22" s="162">
        <f t="shared" si="10"/>
        <v>-0.03342502490230634</v>
      </c>
      <c r="M22" s="160">
        <f t="shared" si="11"/>
        <v>5.0951963236704865</v>
      </c>
      <c r="N22" s="268">
        <f t="shared" si="12"/>
        <v>3.7663926473409735</v>
      </c>
      <c r="O22" s="268">
        <f t="shared" si="13"/>
        <v>91.63635611641048</v>
      </c>
      <c r="P22" s="164">
        <f t="shared" si="14"/>
        <v>-656.7899660045306</v>
      </c>
      <c r="Q22" s="277">
        <f t="shared" si="15"/>
        <v>-1721.5748652857847</v>
      </c>
      <c r="R22" s="274">
        <f t="shared" si="18"/>
        <v>1.2607953829288892</v>
      </c>
      <c r="S22" s="272">
        <f t="shared" si="16"/>
        <v>0.18327271223282096</v>
      </c>
      <c r="T22" s="165">
        <f t="shared" si="19"/>
        <v>-1791.8378519170267</v>
      </c>
      <c r="V22" s="273">
        <f t="shared" si="17"/>
        <v>4905</v>
      </c>
      <c r="W22" s="274"/>
      <c r="X22" s="278">
        <f aca="true" t="shared" si="20" ref="X22:X49">IF(Q22&gt;D22,"Dépassement de la puisance disponible","")</f>
      </c>
      <c r="Y22" s="258"/>
      <c r="Z22" s="259">
        <f t="shared" si="0"/>
        <v>0</v>
      </c>
      <c r="AA22" s="2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2:47" ht="12.75" hidden="1">
      <c r="B23" s="275">
        <v>900</v>
      </c>
      <c r="C23" s="262">
        <f t="shared" si="1"/>
        <v>17.64</v>
      </c>
      <c r="D23" s="263">
        <f t="shared" si="2"/>
        <v>15876</v>
      </c>
      <c r="E23" s="264">
        <f t="shared" si="3"/>
        <v>0.4405</v>
      </c>
      <c r="F23" s="262">
        <f t="shared" si="4"/>
        <v>396.45</v>
      </c>
      <c r="G23" s="265">
        <f t="shared" si="5"/>
        <v>0.007197547345755411</v>
      </c>
      <c r="H23" s="265">
        <f t="shared" si="6"/>
        <v>2.8534676452247325</v>
      </c>
      <c r="I23" s="276">
        <f t="shared" si="7"/>
        <v>5.546697366527558</v>
      </c>
      <c r="J23" s="267">
        <f t="shared" si="8"/>
        <v>6.4239999999999995</v>
      </c>
      <c r="K23" s="262">
        <f t="shared" si="9"/>
        <v>2.2378797882013406</v>
      </c>
      <c r="L23" s="162">
        <f t="shared" si="10"/>
        <v>-0.019632978315837865</v>
      </c>
      <c r="M23" s="160">
        <f t="shared" si="11"/>
        <v>5.655595555649108</v>
      </c>
      <c r="N23" s="268">
        <f t="shared" si="12"/>
        <v>4.8871911112982165</v>
      </c>
      <c r="O23" s="268">
        <f t="shared" si="13"/>
        <v>91.63635611641048</v>
      </c>
      <c r="P23" s="164">
        <f t="shared" si="14"/>
        <v>-421.5731845160867</v>
      </c>
      <c r="Q23" s="277">
        <f t="shared" si="15"/>
        <v>-1226.5628438911112</v>
      </c>
      <c r="R23" s="274">
        <f t="shared" si="18"/>
        <v>1.135866229611021</v>
      </c>
      <c r="S23" s="272">
        <f t="shared" si="16"/>
        <v>0.18327271223282096</v>
      </c>
      <c r="T23" s="165">
        <f t="shared" si="19"/>
        <v>-1150.1253497589432</v>
      </c>
      <c r="V23" s="273">
        <f t="shared" si="17"/>
        <v>4905</v>
      </c>
      <c r="W23" s="274"/>
      <c r="X23" s="278">
        <f t="shared" si="20"/>
      </c>
      <c r="Y23" s="258"/>
      <c r="Z23" s="259">
        <f t="shared" si="0"/>
        <v>0</v>
      </c>
      <c r="AA23" s="222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2:47" ht="12.75" hidden="1">
      <c r="B24" s="275">
        <v>1000</v>
      </c>
      <c r="C24" s="262">
        <f t="shared" si="1"/>
        <v>17.64</v>
      </c>
      <c r="D24" s="263">
        <f t="shared" si="2"/>
        <v>17640</v>
      </c>
      <c r="E24" s="264">
        <f t="shared" si="3"/>
        <v>0.4405</v>
      </c>
      <c r="F24" s="262">
        <f t="shared" si="4"/>
        <v>440.5</v>
      </c>
      <c r="G24" s="265">
        <f t="shared" si="5"/>
        <v>0.007197547345755411</v>
      </c>
      <c r="H24" s="265">
        <f t="shared" si="6"/>
        <v>3.1705196058052585</v>
      </c>
      <c r="I24" s="276">
        <f t="shared" si="7"/>
        <v>6.162997073919509</v>
      </c>
      <c r="J24" s="267">
        <f t="shared" si="8"/>
        <v>6.4239999999999995</v>
      </c>
      <c r="K24" s="262">
        <f t="shared" si="9"/>
        <v>2.2378797882013406</v>
      </c>
      <c r="L24" s="162">
        <f t="shared" si="10"/>
        <v>-0.005840931729369392</v>
      </c>
      <c r="M24" s="160">
        <f t="shared" si="11"/>
        <v>6.198994719076575</v>
      </c>
      <c r="N24" s="268">
        <f t="shared" si="12"/>
        <v>5.973989438153151</v>
      </c>
      <c r="O24" s="268">
        <f t="shared" si="13"/>
        <v>91.63635611641048</v>
      </c>
      <c r="P24" s="164">
        <f t="shared" si="14"/>
        <v>-135.30652591650096</v>
      </c>
      <c r="Q24" s="277">
        <f t="shared" si="15"/>
        <v>-431.497706156459</v>
      </c>
      <c r="R24" s="274">
        <f t="shared" si="18"/>
        <v>1.0362970596233936</v>
      </c>
      <c r="S24" s="272">
        <f t="shared" si="16"/>
        <v>0.18327271223282096</v>
      </c>
      <c r="T24" s="165">
        <f t="shared" si="19"/>
        <v>-369.13985794190125</v>
      </c>
      <c r="V24" s="273">
        <f t="shared" si="17"/>
        <v>4905</v>
      </c>
      <c r="W24" s="274"/>
      <c r="X24" s="278">
        <f t="shared" si="20"/>
      </c>
      <c r="Y24" s="258"/>
      <c r="Z24" s="259">
        <f t="shared" si="0"/>
        <v>0</v>
      </c>
      <c r="AA24" s="222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</row>
    <row r="25" spans="1:47" ht="12.75">
      <c r="A25" s="279"/>
      <c r="B25" s="280">
        <v>1100</v>
      </c>
      <c r="C25" s="281">
        <f t="shared" si="1"/>
        <v>17.64</v>
      </c>
      <c r="D25" s="282">
        <f aca="true" t="shared" si="21" ref="D25:D44">D77</f>
        <v>20053.02</v>
      </c>
      <c r="E25" s="283">
        <f t="shared" si="3"/>
        <v>0.4405</v>
      </c>
      <c r="F25" s="281">
        <f t="shared" si="4"/>
        <v>484.55</v>
      </c>
      <c r="G25" s="284">
        <f t="shared" si="5"/>
        <v>0.007197547345755411</v>
      </c>
      <c r="H25" s="284">
        <f t="shared" si="6"/>
        <v>3.4875715663857845</v>
      </c>
      <c r="I25" s="285">
        <f t="shared" si="7"/>
        <v>6.7792967813114595</v>
      </c>
      <c r="J25" s="262">
        <f t="shared" si="8"/>
        <v>6.4239999999999995</v>
      </c>
      <c r="K25" s="262">
        <f t="shared" si="9"/>
        <v>2.2378797882013406</v>
      </c>
      <c r="L25" s="162">
        <f t="shared" si="10"/>
        <v>0.007951114857099081</v>
      </c>
      <c r="M25" s="160">
        <f t="shared" si="11"/>
        <v>6.72539381395289</v>
      </c>
      <c r="N25" s="268">
        <f t="shared" si="12"/>
        <v>7.026787627905781</v>
      </c>
      <c r="O25" s="268">
        <f t="shared" si="13"/>
        <v>91.63635611641048</v>
      </c>
      <c r="P25" s="164">
        <f t="shared" si="14"/>
        <v>196.6331878571155</v>
      </c>
      <c r="Q25" s="277">
        <f t="shared" si="15"/>
        <v>680.3196605360596</v>
      </c>
      <c r="R25" s="274">
        <f t="shared" si="18"/>
        <v>0.9551857003038838</v>
      </c>
      <c r="S25" s="272">
        <f t="shared" si="16"/>
        <v>0.18327271223282096</v>
      </c>
      <c r="T25" s="286">
        <f t="shared" si="19"/>
        <v>536.4497132757058</v>
      </c>
      <c r="U25" s="287"/>
      <c r="V25" s="288">
        <f t="shared" si="17"/>
        <v>4905</v>
      </c>
      <c r="W25" s="289"/>
      <c r="X25" s="278">
        <f t="shared" si="20"/>
      </c>
      <c r="Y25" s="290">
        <f aca="true" t="shared" si="22" ref="Y25:Y44">Q25/4660</f>
        <v>0.14599134346267373</v>
      </c>
      <c r="Z25" s="291">
        <f t="shared" si="0"/>
        <v>0.02272592519655569</v>
      </c>
      <c r="AA25" s="222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1:47" ht="12.75">
      <c r="A26" s="279"/>
      <c r="B26" s="292">
        <v>1200</v>
      </c>
      <c r="C26" s="262">
        <f t="shared" si="1"/>
        <v>17.64</v>
      </c>
      <c r="D26" s="263">
        <f t="shared" si="21"/>
        <v>22560</v>
      </c>
      <c r="E26" s="264">
        <f t="shared" si="3"/>
        <v>0.4405</v>
      </c>
      <c r="F26" s="262">
        <f t="shared" si="4"/>
        <v>528.6</v>
      </c>
      <c r="G26" s="265">
        <f t="shared" si="5"/>
        <v>0.007197547345755411</v>
      </c>
      <c r="H26" s="265">
        <f t="shared" si="6"/>
        <v>3.8046235269663105</v>
      </c>
      <c r="I26" s="276">
        <f t="shared" si="7"/>
        <v>7.3955964887034105</v>
      </c>
      <c r="J26" s="262">
        <f t="shared" si="8"/>
        <v>6.4239999999999995</v>
      </c>
      <c r="K26" s="262">
        <f t="shared" si="9"/>
        <v>2.2378797882013406</v>
      </c>
      <c r="L26" s="162">
        <f t="shared" si="10"/>
        <v>0.021743161443567555</v>
      </c>
      <c r="M26" s="160">
        <f t="shared" si="11"/>
        <v>7.234792840278051</v>
      </c>
      <c r="N26" s="268">
        <f t="shared" si="12"/>
        <v>8.045585680556103</v>
      </c>
      <c r="O26" s="268">
        <f t="shared" si="13"/>
        <v>91.63635611641048</v>
      </c>
      <c r="P26" s="164">
        <f t="shared" si="14"/>
        <v>569.0373470175194</v>
      </c>
      <c r="Q26" s="277">
        <f t="shared" si="15"/>
        <v>2117.899523374018</v>
      </c>
      <c r="R26" s="274">
        <f t="shared" si="18"/>
        <v>0.8879314365762971</v>
      </c>
      <c r="S26" s="272">
        <f t="shared" si="16"/>
        <v>0.18327271223282096</v>
      </c>
      <c r="T26" s="293">
        <f t="shared" si="19"/>
        <v>1552.4333657883597</v>
      </c>
      <c r="V26" s="273">
        <f t="shared" si="17"/>
        <v>4905</v>
      </c>
      <c r="W26" s="274"/>
      <c r="X26" s="278">
        <f t="shared" si="20"/>
      </c>
      <c r="Y26" s="294">
        <f t="shared" si="22"/>
        <v>0.45448487626051887</v>
      </c>
      <c r="Z26" s="295">
        <f t="shared" si="0"/>
        <v>0.07074795707666857</v>
      </c>
      <c r="AA26" s="222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1:47" ht="12.75">
      <c r="A27" s="279" t="s">
        <v>188</v>
      </c>
      <c r="B27" s="292">
        <v>1300</v>
      </c>
      <c r="C27" s="262">
        <f t="shared" si="1"/>
        <v>17.64</v>
      </c>
      <c r="D27" s="263">
        <f t="shared" si="21"/>
        <v>25066.039999999997</v>
      </c>
      <c r="E27" s="264">
        <f t="shared" si="3"/>
        <v>0.4405</v>
      </c>
      <c r="F27" s="262">
        <f t="shared" si="4"/>
        <v>572.65</v>
      </c>
      <c r="G27" s="265">
        <f t="shared" si="5"/>
        <v>0.007197547345755411</v>
      </c>
      <c r="H27" s="265">
        <f t="shared" si="6"/>
        <v>4.1216754875468355</v>
      </c>
      <c r="I27" s="276">
        <f t="shared" si="7"/>
        <v>8.01189619609536</v>
      </c>
      <c r="J27" s="262">
        <f t="shared" si="8"/>
        <v>6.4239999999999995</v>
      </c>
      <c r="K27" s="262">
        <f t="shared" si="9"/>
        <v>2.2378797882013406</v>
      </c>
      <c r="L27" s="162">
        <f t="shared" si="10"/>
        <v>0.03553520803003601</v>
      </c>
      <c r="M27" s="160">
        <f t="shared" si="11"/>
        <v>7.727191798052058</v>
      </c>
      <c r="N27" s="268">
        <f t="shared" si="12"/>
        <v>9.030383596104116</v>
      </c>
      <c r="O27" s="268">
        <f t="shared" si="13"/>
        <v>91.63635611641048</v>
      </c>
      <c r="P27" s="164">
        <f t="shared" si="14"/>
        <v>976.8655539273401</v>
      </c>
      <c r="Q27" s="277">
        <f t="shared" si="15"/>
        <v>3883.2465896638946</v>
      </c>
      <c r="R27" s="274">
        <f t="shared" si="18"/>
        <v>0.8313498833585858</v>
      </c>
      <c r="S27" s="272">
        <f t="shared" si="16"/>
        <v>0.18327271223282096</v>
      </c>
      <c r="T27" s="293">
        <f t="shared" si="19"/>
        <v>2665.060013643429</v>
      </c>
      <c r="V27" s="273">
        <f t="shared" si="17"/>
        <v>4905</v>
      </c>
      <c r="W27" s="274"/>
      <c r="X27" s="278">
        <f t="shared" si="20"/>
      </c>
      <c r="Y27" s="294">
        <f t="shared" si="22"/>
        <v>0.8333147188119946</v>
      </c>
      <c r="Z27" s="295">
        <f t="shared" si="0"/>
        <v>0.12971897864445744</v>
      </c>
      <c r="AA27" s="222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1:47" ht="12.75">
      <c r="A28" s="296" t="s">
        <v>189</v>
      </c>
      <c r="B28" s="292">
        <v>1400</v>
      </c>
      <c r="C28" s="262">
        <f t="shared" si="1"/>
        <v>17.64</v>
      </c>
      <c r="D28" s="263">
        <f t="shared" si="21"/>
        <v>27573.019999999997</v>
      </c>
      <c r="E28" s="264">
        <f t="shared" si="3"/>
        <v>0.4405</v>
      </c>
      <c r="F28" s="262">
        <f t="shared" si="4"/>
        <v>616.7</v>
      </c>
      <c r="G28" s="265">
        <f t="shared" si="5"/>
        <v>0.007197547345755411</v>
      </c>
      <c r="H28" s="265">
        <f t="shared" si="6"/>
        <v>4.438727448127362</v>
      </c>
      <c r="I28" s="276">
        <f t="shared" si="7"/>
        <v>8.628195903487311</v>
      </c>
      <c r="J28" s="262">
        <f t="shared" si="8"/>
        <v>6.4239999999999995</v>
      </c>
      <c r="K28" s="262">
        <f t="shared" si="9"/>
        <v>2.2378797882013406</v>
      </c>
      <c r="L28" s="162">
        <f t="shared" si="10"/>
        <v>0.04932725461650448</v>
      </c>
      <c r="M28" s="166">
        <f t="shared" si="11"/>
        <v>8.202590687274913</v>
      </c>
      <c r="N28" s="268">
        <f t="shared" si="12"/>
        <v>9.981181374549827</v>
      </c>
      <c r="O28" s="268">
        <f t="shared" si="13"/>
        <v>91.63635611641048</v>
      </c>
      <c r="P28" s="164">
        <f t="shared" si="14"/>
        <v>1415.2456230990813</v>
      </c>
      <c r="Q28" s="277">
        <f t="shared" si="15"/>
        <v>5972.021225660786</v>
      </c>
      <c r="R28" s="274">
        <f t="shared" si="18"/>
        <v>0.7831672022798687</v>
      </c>
      <c r="S28" s="272">
        <f t="shared" si="16"/>
        <v>0.18327271223282096</v>
      </c>
      <c r="T28" s="297">
        <f t="shared" si="19"/>
        <v>3861.037483041175</v>
      </c>
      <c r="V28" s="273">
        <f t="shared" si="17"/>
        <v>4905</v>
      </c>
      <c r="W28" s="274"/>
      <c r="X28" s="278">
        <f t="shared" si="20"/>
      </c>
      <c r="Y28" s="294">
        <f t="shared" si="22"/>
        <v>1.281549619240512</v>
      </c>
      <c r="Z28" s="295">
        <f t="shared" si="0"/>
        <v>0.19949402541103864</v>
      </c>
      <c r="AA28" s="222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</row>
    <row r="29" spans="1:47" ht="12.75">
      <c r="A29" s="296"/>
      <c r="B29" s="292">
        <v>1500</v>
      </c>
      <c r="C29" s="262">
        <f t="shared" si="1"/>
        <v>17.64</v>
      </c>
      <c r="D29" s="263">
        <f t="shared" si="21"/>
        <v>30080</v>
      </c>
      <c r="E29" s="264">
        <f t="shared" si="3"/>
        <v>0.4405</v>
      </c>
      <c r="F29" s="262">
        <f t="shared" si="4"/>
        <v>660.75</v>
      </c>
      <c r="G29" s="265">
        <f t="shared" si="5"/>
        <v>0.007197547345755411</v>
      </c>
      <c r="H29" s="265">
        <f t="shared" si="6"/>
        <v>4.7557794087078875</v>
      </c>
      <c r="I29" s="276">
        <f t="shared" si="7"/>
        <v>9.244495610879262</v>
      </c>
      <c r="J29" s="262">
        <f t="shared" si="8"/>
        <v>6.4239999999999995</v>
      </c>
      <c r="K29" s="262">
        <f t="shared" si="9"/>
        <v>2.2378797882013406</v>
      </c>
      <c r="L29" s="162">
        <f t="shared" si="10"/>
        <v>0.06311930120297296</v>
      </c>
      <c r="M29" s="166">
        <f t="shared" si="11"/>
        <v>8.660989507946613</v>
      </c>
      <c r="N29" s="268">
        <f t="shared" si="12"/>
        <v>10.897979015893227</v>
      </c>
      <c r="O29" s="268">
        <f t="shared" si="13"/>
        <v>91.63635611641048</v>
      </c>
      <c r="P29" s="164">
        <f t="shared" si="14"/>
        <v>1879.47358119511</v>
      </c>
      <c r="Q29" s="277">
        <f t="shared" si="15"/>
        <v>8374.178608678534</v>
      </c>
      <c r="R29" s="274">
        <f t="shared" si="18"/>
        <v>0.7417166357384297</v>
      </c>
      <c r="S29" s="272">
        <f t="shared" si="16"/>
        <v>0.18327271223282096</v>
      </c>
      <c r="T29" s="297">
        <f t="shared" si="19"/>
        <v>5127.532512334722</v>
      </c>
      <c r="V29" s="273">
        <f t="shared" si="17"/>
        <v>4905</v>
      </c>
      <c r="W29" s="274"/>
      <c r="X29" s="278">
        <f t="shared" si="20"/>
      </c>
      <c r="Y29" s="294">
        <f t="shared" si="22"/>
        <v>1.7970340361971104</v>
      </c>
      <c r="Z29" s="295">
        <f t="shared" si="0"/>
        <v>0.279737552334544</v>
      </c>
      <c r="AA29" s="222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</row>
    <row r="30" spans="1:47" ht="12.75">
      <c r="A30" s="296"/>
      <c r="B30" s="292">
        <v>1600</v>
      </c>
      <c r="C30" s="262">
        <f t="shared" si="1"/>
        <v>17.64</v>
      </c>
      <c r="D30" s="263">
        <f t="shared" si="21"/>
        <v>32586.039999999997</v>
      </c>
      <c r="E30" s="264">
        <f t="shared" si="3"/>
        <v>0.4405</v>
      </c>
      <c r="F30" s="262">
        <f t="shared" si="4"/>
        <v>704.8</v>
      </c>
      <c r="G30" s="265">
        <f t="shared" si="5"/>
        <v>0.007197547345755411</v>
      </c>
      <c r="H30" s="265">
        <f t="shared" si="6"/>
        <v>5.072831369288413</v>
      </c>
      <c r="I30" s="276">
        <f t="shared" si="7"/>
        <v>9.860795318271213</v>
      </c>
      <c r="J30" s="262">
        <f t="shared" si="8"/>
        <v>6.4239999999999995</v>
      </c>
      <c r="K30" s="262">
        <f t="shared" si="9"/>
        <v>2.2378797882013406</v>
      </c>
      <c r="L30" s="162">
        <f t="shared" si="10"/>
        <v>0.07691134778944143</v>
      </c>
      <c r="M30" s="160">
        <f t="shared" si="11"/>
        <v>9.10238826006716</v>
      </c>
      <c r="N30" s="268">
        <f t="shared" si="12"/>
        <v>11.78077652013432</v>
      </c>
      <c r="O30" s="268">
        <f t="shared" si="13"/>
        <v>91.63635611641048</v>
      </c>
      <c r="P30" s="164">
        <f t="shared" si="14"/>
        <v>2365.0136670276706</v>
      </c>
      <c r="Q30" s="277">
        <f t="shared" si="15"/>
        <v>11074.585812480485</v>
      </c>
      <c r="R30" s="274">
        <f t="shared" si="18"/>
        <v>0.7057488448589427</v>
      </c>
      <c r="S30" s="272">
        <f t="shared" si="16"/>
        <v>0.18327271223282096</v>
      </c>
      <c r="T30" s="297">
        <f t="shared" si="19"/>
        <v>6452.170752030093</v>
      </c>
      <c r="V30" s="273">
        <f t="shared" si="17"/>
        <v>4905</v>
      </c>
      <c r="W30" s="274"/>
      <c r="X30" s="278">
        <f t="shared" si="20"/>
      </c>
      <c r="Y30" s="294">
        <f t="shared" si="22"/>
        <v>2.37652056061813</v>
      </c>
      <c r="Z30" s="295">
        <f t="shared" si="0"/>
        <v>0.36994404741876247</v>
      </c>
      <c r="AA30" s="222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</row>
    <row r="31" spans="1:47" ht="12.75">
      <c r="A31" s="298"/>
      <c r="B31" s="299">
        <v>1700</v>
      </c>
      <c r="C31" s="300">
        <f t="shared" si="1"/>
        <v>17.64</v>
      </c>
      <c r="D31" s="301">
        <f t="shared" si="21"/>
        <v>35093.02</v>
      </c>
      <c r="E31" s="302">
        <f t="shared" si="3"/>
        <v>0.4405</v>
      </c>
      <c r="F31" s="300">
        <f t="shared" si="4"/>
        <v>748.85</v>
      </c>
      <c r="G31" s="303">
        <f t="shared" si="5"/>
        <v>0.007197547345755411</v>
      </c>
      <c r="H31" s="303">
        <f t="shared" si="6"/>
        <v>5.3898833298689395</v>
      </c>
      <c r="I31" s="304">
        <f t="shared" si="7"/>
        <v>10.477095025663164</v>
      </c>
      <c r="J31" s="300">
        <f t="shared" si="8"/>
        <v>6.4239999999999995</v>
      </c>
      <c r="K31" s="300">
        <f t="shared" si="9"/>
        <v>2.2378797882013406</v>
      </c>
      <c r="L31" s="305">
        <f t="shared" si="10"/>
        <v>0.0907033943759099</v>
      </c>
      <c r="M31" s="306">
        <f t="shared" si="11"/>
        <v>9.526786943636555</v>
      </c>
      <c r="N31" s="307">
        <f t="shared" si="12"/>
        <v>12.62957388727311</v>
      </c>
      <c r="O31" s="307">
        <f t="shared" si="13"/>
        <v>91.63635611641048</v>
      </c>
      <c r="P31" s="308">
        <f t="shared" si="14"/>
        <v>2867.4983315588797</v>
      </c>
      <c r="Q31" s="308">
        <f t="shared" si="15"/>
        <v>14053.616825950628</v>
      </c>
      <c r="R31" s="305">
        <f t="shared" si="18"/>
        <v>0.6743091913366372</v>
      </c>
      <c r="S31" s="309">
        <f t="shared" si="16"/>
        <v>0.18327271223282096</v>
      </c>
      <c r="T31" s="310">
        <f t="shared" si="19"/>
        <v>7823.0367647861995</v>
      </c>
      <c r="U31" s="189"/>
      <c r="V31" s="311">
        <f t="shared" si="17"/>
        <v>4905</v>
      </c>
      <c r="W31" s="312"/>
      <c r="X31" s="279">
        <f t="shared" si="20"/>
      </c>
      <c r="Y31" s="313">
        <f t="shared" si="22"/>
        <v>3.015797602135328</v>
      </c>
      <c r="Z31" s="314">
        <f t="shared" si="0"/>
        <v>0.4694579081779776</v>
      </c>
      <c r="AA31" s="222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</row>
    <row r="32" spans="1:47" ht="12.75">
      <c r="A32" s="298"/>
      <c r="B32" s="299">
        <v>1800</v>
      </c>
      <c r="C32" s="300">
        <f t="shared" si="1"/>
        <v>17.64</v>
      </c>
      <c r="D32" s="301">
        <f t="shared" si="21"/>
        <v>37600</v>
      </c>
      <c r="E32" s="302">
        <f t="shared" si="3"/>
        <v>0.4405</v>
      </c>
      <c r="F32" s="300">
        <f t="shared" si="4"/>
        <v>792.9</v>
      </c>
      <c r="G32" s="303">
        <f t="shared" si="5"/>
        <v>0.007197547345755411</v>
      </c>
      <c r="H32" s="303">
        <f t="shared" si="6"/>
        <v>5.706935290449465</v>
      </c>
      <c r="I32" s="304">
        <f t="shared" si="7"/>
        <v>11.093394733055115</v>
      </c>
      <c r="J32" s="300">
        <f t="shared" si="8"/>
        <v>6.4239999999999995</v>
      </c>
      <c r="K32" s="300">
        <f t="shared" si="9"/>
        <v>2.2378797882013406</v>
      </c>
      <c r="L32" s="305">
        <f t="shared" si="10"/>
        <v>0.10449544096237838</v>
      </c>
      <c r="M32" s="306">
        <f t="shared" si="11"/>
        <v>9.934185558654795</v>
      </c>
      <c r="N32" s="307">
        <f t="shared" si="12"/>
        <v>13.44437111730959</v>
      </c>
      <c r="O32" s="307">
        <f t="shared" si="13"/>
        <v>91.63635611641048</v>
      </c>
      <c r="P32" s="308">
        <f t="shared" si="14"/>
        <v>3382.728237900716</v>
      </c>
      <c r="Q32" s="308">
        <f t="shared" si="15"/>
        <v>17287.725505045197</v>
      </c>
      <c r="R32" s="305">
        <f t="shared" si="18"/>
        <v>0.6466559298767401</v>
      </c>
      <c r="S32" s="309">
        <f t="shared" si="16"/>
        <v>0.18327271223282096</v>
      </c>
      <c r="T32" s="310">
        <f t="shared" si="19"/>
        <v>9228.67402541481</v>
      </c>
      <c r="U32" s="189"/>
      <c r="V32" s="311">
        <f t="shared" si="17"/>
        <v>4905</v>
      </c>
      <c r="W32" s="312"/>
      <c r="X32" s="279">
        <f t="shared" si="20"/>
      </c>
      <c r="Y32" s="313">
        <f t="shared" si="22"/>
        <v>3.709812340138454</v>
      </c>
      <c r="Z32" s="314">
        <f t="shared" si="0"/>
        <v>0.5774925809680035</v>
      </c>
      <c r="AA32" s="22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1:47" ht="12.75">
      <c r="A33" s="298"/>
      <c r="B33" s="315">
        <v>1900</v>
      </c>
      <c r="C33" s="316">
        <f t="shared" si="1"/>
        <v>17.64</v>
      </c>
      <c r="D33" s="317">
        <f t="shared" si="21"/>
        <v>39480</v>
      </c>
      <c r="E33" s="318">
        <f t="shared" si="3"/>
        <v>0.4405</v>
      </c>
      <c r="F33" s="316">
        <f t="shared" si="4"/>
        <v>836.95</v>
      </c>
      <c r="G33" s="319">
        <f t="shared" si="5"/>
        <v>0.007197547345755411</v>
      </c>
      <c r="H33" s="319">
        <f t="shared" si="6"/>
        <v>6.023987251029991</v>
      </c>
      <c r="I33" s="320">
        <f t="shared" si="7"/>
        <v>11.709694440447066</v>
      </c>
      <c r="J33" s="316">
        <f t="shared" si="8"/>
        <v>6.4239999999999995</v>
      </c>
      <c r="K33" s="316">
        <f t="shared" si="9"/>
        <v>2.2378797882013406</v>
      </c>
      <c r="L33" s="321">
        <f t="shared" si="10"/>
        <v>0.11828748754884685</v>
      </c>
      <c r="M33" s="322">
        <f t="shared" si="11"/>
        <v>10.324584105121883</v>
      </c>
      <c r="N33" s="323">
        <f t="shared" si="12"/>
        <v>14.225168210243766</v>
      </c>
      <c r="O33" s="323">
        <f t="shared" si="13"/>
        <v>91.63635611641048</v>
      </c>
      <c r="P33" s="324">
        <f t="shared" si="14"/>
        <v>3906.672261315041</v>
      </c>
      <c r="Q33" s="324">
        <f t="shared" si="15"/>
        <v>20749.99645802494</v>
      </c>
      <c r="R33" s="325">
        <f t="shared" si="18"/>
        <v>0.6222042393759127</v>
      </c>
      <c r="S33" s="326">
        <f t="shared" si="16"/>
        <v>0.18327271223282096</v>
      </c>
      <c r="T33" s="327">
        <f t="shared" si="19"/>
        <v>10658.08492088061</v>
      </c>
      <c r="U33" s="328"/>
      <c r="V33" s="329">
        <f t="shared" si="17"/>
        <v>4905</v>
      </c>
      <c r="W33" s="325"/>
      <c r="X33" s="330">
        <f t="shared" si="20"/>
      </c>
      <c r="Y33" s="331">
        <f t="shared" si="22"/>
        <v>4.452788939490331</v>
      </c>
      <c r="Z33" s="332">
        <f t="shared" si="0"/>
        <v>0.6931489631834264</v>
      </c>
      <c r="AA33" s="222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1:47" ht="12.75">
      <c r="A34" s="298"/>
      <c r="B34" s="315">
        <v>2000</v>
      </c>
      <c r="C34" s="316">
        <f t="shared" si="1"/>
        <v>17.64</v>
      </c>
      <c r="D34" s="317">
        <f t="shared" si="21"/>
        <v>41548</v>
      </c>
      <c r="E34" s="318">
        <f t="shared" si="3"/>
        <v>0.4405</v>
      </c>
      <c r="F34" s="316">
        <f t="shared" si="4"/>
        <v>881</v>
      </c>
      <c r="G34" s="319">
        <f t="shared" si="5"/>
        <v>0.007197547345755411</v>
      </c>
      <c r="H34" s="319">
        <f t="shared" si="6"/>
        <v>6.341039211610517</v>
      </c>
      <c r="I34" s="320">
        <f t="shared" si="7"/>
        <v>12.325994147839017</v>
      </c>
      <c r="J34" s="316">
        <f t="shared" si="8"/>
        <v>6.4239999999999995</v>
      </c>
      <c r="K34" s="316">
        <f t="shared" si="9"/>
        <v>2.2378797882013406</v>
      </c>
      <c r="L34" s="321">
        <f t="shared" si="10"/>
        <v>0.1320795341353153</v>
      </c>
      <c r="M34" s="322">
        <f t="shared" si="11"/>
        <v>10.697982583037817</v>
      </c>
      <c r="N34" s="323">
        <f t="shared" si="12"/>
        <v>14.971965166075634</v>
      </c>
      <c r="O34" s="323">
        <f t="shared" si="13"/>
        <v>91.63635611641048</v>
      </c>
      <c r="P34" s="324">
        <f t="shared" si="14"/>
        <v>4435.467489213579</v>
      </c>
      <c r="Q34" s="277">
        <f t="shared" si="15"/>
        <v>24410.67386396766</v>
      </c>
      <c r="R34" s="325">
        <f t="shared" si="18"/>
        <v>0.6004870497906373</v>
      </c>
      <c r="S34" s="326">
        <f t="shared" si="16"/>
        <v>0.18327271223282096</v>
      </c>
      <c r="T34" s="327">
        <f t="shared" si="19"/>
        <v>12100.730750301145</v>
      </c>
      <c r="U34" s="328"/>
      <c r="V34" s="329">
        <f t="shared" si="17"/>
        <v>4905</v>
      </c>
      <c r="W34" s="325"/>
      <c r="X34" s="330">
        <f t="shared" si="20"/>
      </c>
      <c r="Y34" s="294">
        <f t="shared" si="22"/>
        <v>5.238342030894348</v>
      </c>
      <c r="Z34" s="332">
        <f t="shared" si="0"/>
        <v>0.815433068321038</v>
      </c>
      <c r="AA34" s="222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</row>
    <row r="35" spans="1:47" ht="12.75">
      <c r="A35" s="333" t="s">
        <v>190</v>
      </c>
      <c r="B35" s="315">
        <v>2100</v>
      </c>
      <c r="C35" s="262">
        <f t="shared" si="1"/>
        <v>17.64</v>
      </c>
      <c r="D35" s="263">
        <f t="shared" si="21"/>
        <v>43240</v>
      </c>
      <c r="E35" s="264">
        <f t="shared" si="3"/>
        <v>0.4405</v>
      </c>
      <c r="F35" s="262">
        <f t="shared" si="4"/>
        <v>925.05</v>
      </c>
      <c r="G35" s="265">
        <f t="shared" si="5"/>
        <v>0.007197547345755411</v>
      </c>
      <c r="H35" s="265">
        <f t="shared" si="6"/>
        <v>6.6580911721910425</v>
      </c>
      <c r="I35" s="320">
        <f t="shared" si="7"/>
        <v>12.942293855230968</v>
      </c>
      <c r="J35" s="262">
        <f t="shared" si="8"/>
        <v>6.4239999999999995</v>
      </c>
      <c r="K35" s="262">
        <f t="shared" si="9"/>
        <v>2.2378797882013406</v>
      </c>
      <c r="L35" s="162">
        <f t="shared" si="10"/>
        <v>0.1458715807217838</v>
      </c>
      <c r="M35" s="322">
        <f t="shared" si="11"/>
        <v>11.054380992402598</v>
      </c>
      <c r="N35" s="268">
        <f t="shared" si="12"/>
        <v>15.684761984805196</v>
      </c>
      <c r="O35" s="268">
        <f t="shared" si="13"/>
        <v>91.63635611641048</v>
      </c>
      <c r="P35" s="164">
        <f t="shared" si="14"/>
        <v>4965.4192211579275</v>
      </c>
      <c r="Q35" s="277">
        <f t="shared" si="15"/>
        <v>28237.66822456138</v>
      </c>
      <c r="R35" s="274">
        <f t="shared" si="18"/>
        <v>0.5811270666729377</v>
      </c>
      <c r="S35" s="272">
        <f t="shared" si="16"/>
        <v>0.18327271223282096</v>
      </c>
      <c r="T35" s="297">
        <f t="shared" si="19"/>
        <v>13546.53172494685</v>
      </c>
      <c r="V35" s="273">
        <f t="shared" si="17"/>
        <v>4905</v>
      </c>
      <c r="W35" s="274"/>
      <c r="X35" s="278">
        <f t="shared" si="20"/>
      </c>
      <c r="Y35" s="294">
        <f t="shared" si="22"/>
        <v>6.059585455914459</v>
      </c>
      <c r="Z35" s="295">
        <f t="shared" si="0"/>
        <v>0.9432729539094739</v>
      </c>
      <c r="AA35" s="222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1:47" ht="12.75">
      <c r="A36" s="333" t="s">
        <v>191</v>
      </c>
      <c r="B36" s="315">
        <v>2200</v>
      </c>
      <c r="C36" s="262">
        <f t="shared" si="1"/>
        <v>17.64</v>
      </c>
      <c r="D36" s="263">
        <f t="shared" si="21"/>
        <v>45120</v>
      </c>
      <c r="E36" s="264">
        <f t="shared" si="3"/>
        <v>0.4405</v>
      </c>
      <c r="F36" s="262">
        <f t="shared" si="4"/>
        <v>969.1</v>
      </c>
      <c r="G36" s="265">
        <f t="shared" si="5"/>
        <v>0.007197547345755411</v>
      </c>
      <c r="H36" s="265">
        <f t="shared" si="6"/>
        <v>6.975143132771569</v>
      </c>
      <c r="I36" s="320">
        <f t="shared" si="7"/>
        <v>13.558593562622919</v>
      </c>
      <c r="J36" s="262">
        <f t="shared" si="8"/>
        <v>6.4239999999999995</v>
      </c>
      <c r="K36" s="262">
        <f t="shared" si="9"/>
        <v>2.2378797882013406</v>
      </c>
      <c r="L36" s="162">
        <f t="shared" si="10"/>
        <v>0.1596636273082523</v>
      </c>
      <c r="M36" s="322">
        <f t="shared" si="11"/>
        <v>11.393779333216225</v>
      </c>
      <c r="N36" s="268">
        <f t="shared" si="12"/>
        <v>16.36355866643245</v>
      </c>
      <c r="O36" s="268">
        <f t="shared" si="13"/>
        <v>91.63635611641048</v>
      </c>
      <c r="P36" s="164">
        <f t="shared" si="14"/>
        <v>5493.000968859555</v>
      </c>
      <c r="Q36" s="277">
        <f t="shared" si="15"/>
        <v>32197.041049177984</v>
      </c>
      <c r="R36" s="274">
        <f t="shared" si="18"/>
        <v>0.5638164310653399</v>
      </c>
      <c r="S36" s="272">
        <f t="shared" si="16"/>
        <v>0.18327271223282096</v>
      </c>
      <c r="T36" s="297">
        <f t="shared" si="19"/>
        <v>14985.86696824104</v>
      </c>
      <c r="V36" s="273">
        <f t="shared" si="17"/>
        <v>4905</v>
      </c>
      <c r="W36" s="274"/>
      <c r="X36" s="278">
        <f t="shared" si="20"/>
      </c>
      <c r="Y36" s="294">
        <f t="shared" si="22"/>
        <v>6.909236276647636</v>
      </c>
      <c r="Z36" s="295">
        <f t="shared" si="0"/>
        <v>1.0755349123050493</v>
      </c>
      <c r="AA36" s="222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</row>
    <row r="37" spans="1:47" ht="12.75">
      <c r="A37" s="333" t="s">
        <v>192</v>
      </c>
      <c r="B37" s="315">
        <v>2300</v>
      </c>
      <c r="C37" s="262">
        <f t="shared" si="1"/>
        <v>17.64</v>
      </c>
      <c r="D37" s="263">
        <f t="shared" si="21"/>
        <v>46530</v>
      </c>
      <c r="E37" s="264">
        <f t="shared" si="3"/>
        <v>0.4405</v>
      </c>
      <c r="F37" s="262">
        <f t="shared" si="4"/>
        <v>1013.15</v>
      </c>
      <c r="G37" s="265">
        <f t="shared" si="5"/>
        <v>0.007197547345755411</v>
      </c>
      <c r="H37" s="265">
        <f t="shared" si="6"/>
        <v>7.2921950933520945</v>
      </c>
      <c r="I37" s="320">
        <f t="shared" si="7"/>
        <v>14.17489327001487</v>
      </c>
      <c r="J37" s="262">
        <f t="shared" si="8"/>
        <v>6.4239999999999995</v>
      </c>
      <c r="K37" s="262">
        <f t="shared" si="9"/>
        <v>2.2378797882013406</v>
      </c>
      <c r="L37" s="162">
        <f t="shared" si="10"/>
        <v>0.17345567389472072</v>
      </c>
      <c r="M37" s="322">
        <f t="shared" si="11"/>
        <v>11.7161776054787</v>
      </c>
      <c r="N37" s="268">
        <f t="shared" si="12"/>
        <v>17.0083552109574</v>
      </c>
      <c r="O37" s="268">
        <f t="shared" si="13"/>
        <v>91.63635611641048</v>
      </c>
      <c r="P37" s="164">
        <f t="shared" si="14"/>
        <v>6014.854456179805</v>
      </c>
      <c r="Q37" s="277">
        <f t="shared" si="15"/>
        <v>36253.467473227356</v>
      </c>
      <c r="R37" s="274">
        <f t="shared" si="18"/>
        <v>0.5483016915854894</v>
      </c>
      <c r="S37" s="272">
        <f t="shared" si="16"/>
        <v>0.18327271223282096</v>
      </c>
      <c r="T37" s="297">
        <f t="shared" si="19"/>
        <v>16409.574515759934</v>
      </c>
      <c r="V37" s="273">
        <f t="shared" si="17"/>
        <v>4905</v>
      </c>
      <c r="W37" s="274"/>
      <c r="X37" s="278">
        <f t="shared" si="20"/>
      </c>
      <c r="Y37" s="294">
        <f t="shared" si="22"/>
        <v>7.7797140500487885</v>
      </c>
      <c r="Z37" s="295">
        <f t="shared" si="0"/>
        <v>1.2110389243537965</v>
      </c>
      <c r="AA37" s="222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</row>
    <row r="38" spans="1:47" ht="12.75">
      <c r="A38" s="333"/>
      <c r="B38" s="315">
        <v>2400</v>
      </c>
      <c r="C38" s="262">
        <f t="shared" si="1"/>
        <v>17.64</v>
      </c>
      <c r="D38" s="263">
        <f t="shared" si="21"/>
        <v>47940</v>
      </c>
      <c r="E38" s="264">
        <f t="shared" si="3"/>
        <v>0.4405</v>
      </c>
      <c r="F38" s="262">
        <f t="shared" si="4"/>
        <v>1057.2</v>
      </c>
      <c r="G38" s="265">
        <f t="shared" si="5"/>
        <v>0.007197547345755411</v>
      </c>
      <c r="H38" s="265">
        <f t="shared" si="6"/>
        <v>7.609247053932621</v>
      </c>
      <c r="I38" s="320">
        <f t="shared" si="7"/>
        <v>14.791192977406821</v>
      </c>
      <c r="J38" s="262">
        <f t="shared" si="8"/>
        <v>6.4239999999999995</v>
      </c>
      <c r="K38" s="262">
        <f t="shared" si="9"/>
        <v>2.2378797882013406</v>
      </c>
      <c r="L38" s="162">
        <f t="shared" si="10"/>
        <v>0.1872477204811892</v>
      </c>
      <c r="M38" s="322">
        <f t="shared" si="11"/>
        <v>12.02157580919002</v>
      </c>
      <c r="N38" s="268">
        <f t="shared" si="12"/>
        <v>17.61915161838004</v>
      </c>
      <c r="O38" s="268">
        <f t="shared" si="13"/>
        <v>91.63635611641048</v>
      </c>
      <c r="P38" s="164">
        <f t="shared" si="14"/>
        <v>6527.789619129883</v>
      </c>
      <c r="Q38" s="277">
        <f t="shared" si="15"/>
        <v>40370.67680979186</v>
      </c>
      <c r="R38" s="274">
        <f t="shared" si="18"/>
        <v>0.534372540003375</v>
      </c>
      <c r="S38" s="272">
        <f t="shared" si="16"/>
        <v>0.18327271223282096</v>
      </c>
      <c r="T38" s="297">
        <f t="shared" si="19"/>
        <v>17808.951315232593</v>
      </c>
      <c r="V38" s="273">
        <f t="shared" si="17"/>
        <v>4905</v>
      </c>
      <c r="W38" s="274"/>
      <c r="X38" s="278">
        <f t="shared" si="20"/>
      </c>
      <c r="Y38" s="294">
        <f t="shared" si="22"/>
        <v>8.663235366908125</v>
      </c>
      <c r="Z38" s="295">
        <f t="shared" si="0"/>
        <v>1.3485733759196958</v>
      </c>
      <c r="AA38" s="222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</row>
    <row r="39" spans="1:47" ht="12.75">
      <c r="A39" s="73"/>
      <c r="B39" s="334">
        <v>2500</v>
      </c>
      <c r="C39" s="262">
        <f t="shared" si="1"/>
        <v>17.64</v>
      </c>
      <c r="D39" s="263">
        <f t="shared" si="21"/>
        <v>49350</v>
      </c>
      <c r="E39" s="264">
        <f t="shared" si="3"/>
        <v>0.4405</v>
      </c>
      <c r="F39" s="262">
        <f t="shared" si="4"/>
        <v>1101.25</v>
      </c>
      <c r="G39" s="265">
        <f t="shared" si="5"/>
        <v>0.007197547345755411</v>
      </c>
      <c r="H39" s="265">
        <f t="shared" si="6"/>
        <v>7.9262990145131464</v>
      </c>
      <c r="I39" s="320">
        <f t="shared" si="7"/>
        <v>15.407492684798772</v>
      </c>
      <c r="J39" s="262">
        <f t="shared" si="8"/>
        <v>6.4239999999999995</v>
      </c>
      <c r="K39" s="262">
        <f t="shared" si="9"/>
        <v>2.2378797882013406</v>
      </c>
      <c r="L39" s="162">
        <f t="shared" si="10"/>
        <v>0.2010397670676577</v>
      </c>
      <c r="M39" s="322">
        <f t="shared" si="11"/>
        <v>12.309973944350187</v>
      </c>
      <c r="N39" s="268">
        <f t="shared" si="12"/>
        <v>18.195947888700374</v>
      </c>
      <c r="O39" s="268">
        <f t="shared" si="13"/>
        <v>91.63635611641048</v>
      </c>
      <c r="P39" s="164">
        <f t="shared" si="14"/>
        <v>7028.784605870873</v>
      </c>
      <c r="Q39" s="277">
        <f t="shared" si="15"/>
        <v>44511.87103454159</v>
      </c>
      <c r="R39" s="274">
        <f t="shared" si="18"/>
        <v>0.5218532572888486</v>
      </c>
      <c r="S39" s="272">
        <f t="shared" si="16"/>
        <v>0.18327271223282096</v>
      </c>
      <c r="T39" s="297">
        <f t="shared" si="19"/>
        <v>19175.753226540997</v>
      </c>
      <c r="V39" s="273">
        <f t="shared" si="17"/>
        <v>4905</v>
      </c>
      <c r="W39" s="274"/>
      <c r="X39" s="278">
        <f t="shared" si="20"/>
      </c>
      <c r="Y39" s="294">
        <f t="shared" si="22"/>
        <v>9.551903655481027</v>
      </c>
      <c r="Z39" s="295">
        <f t="shared" si="0"/>
        <v>1.4869090372791138</v>
      </c>
      <c r="AA39" s="222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</row>
    <row r="40" spans="1:47" ht="12.75">
      <c r="A40" s="335" t="s">
        <v>190</v>
      </c>
      <c r="B40" s="334">
        <v>2600</v>
      </c>
      <c r="C40" s="262">
        <f t="shared" si="1"/>
        <v>17.64</v>
      </c>
      <c r="D40" s="263">
        <f t="shared" si="21"/>
        <v>50384</v>
      </c>
      <c r="E40" s="264">
        <f t="shared" si="3"/>
        <v>0.4405</v>
      </c>
      <c r="F40" s="262">
        <f t="shared" si="4"/>
        <v>1145.3</v>
      </c>
      <c r="G40" s="265">
        <f t="shared" si="5"/>
        <v>0.007197547345755411</v>
      </c>
      <c r="H40" s="265">
        <f t="shared" si="6"/>
        <v>8.243350975093671</v>
      </c>
      <c r="I40" s="320">
        <f t="shared" si="7"/>
        <v>16.02379239219072</v>
      </c>
      <c r="J40" s="262">
        <f t="shared" si="8"/>
        <v>6.4239999999999995</v>
      </c>
      <c r="K40" s="262">
        <f t="shared" si="9"/>
        <v>2.2378797882013406</v>
      </c>
      <c r="L40" s="162">
        <f t="shared" si="10"/>
        <v>0.21483181365412612</v>
      </c>
      <c r="M40" s="322">
        <f t="shared" si="11"/>
        <v>12.581372010959202</v>
      </c>
      <c r="N40" s="268">
        <f t="shared" si="12"/>
        <v>18.738744021918404</v>
      </c>
      <c r="O40" s="268">
        <f t="shared" si="13"/>
        <v>91.63635611641048</v>
      </c>
      <c r="P40" s="164">
        <f t="shared" si="14"/>
        <v>7514.985776713731</v>
      </c>
      <c r="Q40" s="277">
        <f t="shared" si="15"/>
        <v>48640.12120392991</v>
      </c>
      <c r="R40" s="274">
        <f t="shared" si="18"/>
        <v>0.510596141216099</v>
      </c>
      <c r="S40" s="272">
        <f t="shared" si="16"/>
        <v>0.18327271223282096</v>
      </c>
      <c r="T40" s="297">
        <f t="shared" si="19"/>
        <v>20502.195021720006</v>
      </c>
      <c r="V40" s="273">
        <f t="shared" si="17"/>
        <v>4905</v>
      </c>
      <c r="W40" s="274"/>
      <c r="X40" s="278">
        <f t="shared" si="20"/>
      </c>
      <c r="Y40" s="294">
        <f t="shared" si="22"/>
        <v>10.437794249770368</v>
      </c>
      <c r="Z40" s="295">
        <f t="shared" si="0"/>
        <v>1.6248123053814398</v>
      </c>
      <c r="AA40" s="222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</row>
    <row r="41" spans="1:47" ht="12.75">
      <c r="A41" s="335" t="s">
        <v>191</v>
      </c>
      <c r="B41" s="334">
        <v>2700</v>
      </c>
      <c r="C41" s="262">
        <f t="shared" si="1"/>
        <v>17.64</v>
      </c>
      <c r="D41" s="263">
        <f t="shared" si="21"/>
        <v>51230</v>
      </c>
      <c r="E41" s="264">
        <f t="shared" si="3"/>
        <v>0.4405</v>
      </c>
      <c r="F41" s="262">
        <f t="shared" si="4"/>
        <v>1189.35</v>
      </c>
      <c r="G41" s="265">
        <f t="shared" si="5"/>
        <v>0.007197547345755411</v>
      </c>
      <c r="H41" s="265">
        <f t="shared" si="6"/>
        <v>8.560402935674198</v>
      </c>
      <c r="I41" s="320">
        <f t="shared" si="7"/>
        <v>16.640092099582674</v>
      </c>
      <c r="J41" s="262">
        <f t="shared" si="8"/>
        <v>6.4239999999999995</v>
      </c>
      <c r="K41" s="262">
        <f t="shared" si="9"/>
        <v>2.2378797882013406</v>
      </c>
      <c r="L41" s="162">
        <f t="shared" si="10"/>
        <v>0.22862386024059464</v>
      </c>
      <c r="M41" s="322">
        <f t="shared" si="11"/>
        <v>12.83577000901706</v>
      </c>
      <c r="N41" s="268">
        <f t="shared" si="12"/>
        <v>19.24754001803412</v>
      </c>
      <c r="O41" s="268">
        <f t="shared" si="13"/>
        <v>91.63635611641048</v>
      </c>
      <c r="P41" s="164">
        <f t="shared" si="14"/>
        <v>7983.707704119271</v>
      </c>
      <c r="Q41" s="277">
        <f t="shared" si="15"/>
        <v>52718.74180666941</v>
      </c>
      <c r="R41" s="274">
        <f t="shared" si="18"/>
        <v>0.5004764027002022</v>
      </c>
      <c r="S41" s="272">
        <f t="shared" si="16"/>
        <v>0.18327271223282096</v>
      </c>
      <c r="T41" s="297">
        <f t="shared" si="19"/>
        <v>21780.950384957327</v>
      </c>
      <c r="V41" s="273">
        <f t="shared" si="17"/>
        <v>4905</v>
      </c>
      <c r="W41" s="274"/>
      <c r="X41" s="278" t="str">
        <f t="shared" si="20"/>
        <v>Dépassement de la puisance disponible</v>
      </c>
      <c r="Y41" s="294">
        <f t="shared" si="22"/>
        <v>11.313034722461246</v>
      </c>
      <c r="Z41" s="295">
        <f t="shared" si="0"/>
        <v>1.7610577089759103</v>
      </c>
      <c r="AA41" s="222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</row>
    <row r="42" spans="1:47" ht="12.75">
      <c r="A42" s="335" t="s">
        <v>193</v>
      </c>
      <c r="B42" s="334">
        <v>2800</v>
      </c>
      <c r="C42" s="262">
        <f t="shared" si="1"/>
        <v>17.64</v>
      </c>
      <c r="D42" s="263">
        <f t="shared" si="21"/>
        <v>51700</v>
      </c>
      <c r="E42" s="264">
        <f t="shared" si="3"/>
        <v>0.4405</v>
      </c>
      <c r="F42" s="262">
        <f t="shared" si="4"/>
        <v>1233.4</v>
      </c>
      <c r="G42" s="265">
        <f t="shared" si="5"/>
        <v>0.007197547345755411</v>
      </c>
      <c r="H42" s="265">
        <f t="shared" si="6"/>
        <v>8.877454896254724</v>
      </c>
      <c r="I42" s="320">
        <f t="shared" si="7"/>
        <v>17.256391806974623</v>
      </c>
      <c r="J42" s="262">
        <f t="shared" si="8"/>
        <v>6.4239999999999995</v>
      </c>
      <c r="K42" s="262">
        <f t="shared" si="9"/>
        <v>2.2378797882013406</v>
      </c>
      <c r="L42" s="162">
        <f t="shared" si="10"/>
        <v>0.24241590682706307</v>
      </c>
      <c r="M42" s="322">
        <f t="shared" si="11"/>
        <v>13.07316793852377</v>
      </c>
      <c r="N42" s="268">
        <f t="shared" si="12"/>
        <v>19.72233587704754</v>
      </c>
      <c r="O42" s="268">
        <f t="shared" si="13"/>
        <v>91.63635611641048</v>
      </c>
      <c r="P42" s="164">
        <f t="shared" si="14"/>
        <v>8432.433172698207</v>
      </c>
      <c r="Q42" s="277">
        <f t="shared" si="15"/>
        <v>56711.64304848881</v>
      </c>
      <c r="R42" s="274">
        <f t="shared" si="18"/>
        <v>0.49138816469035596</v>
      </c>
      <c r="S42" s="272">
        <f t="shared" si="16"/>
        <v>0.18327271223282096</v>
      </c>
      <c r="T42" s="297">
        <f t="shared" si="19"/>
        <v>23005.151912593632</v>
      </c>
      <c r="V42" s="273">
        <f t="shared" si="17"/>
        <v>4905</v>
      </c>
      <c r="W42" s="274"/>
      <c r="X42" s="278" t="str">
        <f t="shared" si="20"/>
        <v>Dépassement de la puisance disponible</v>
      </c>
      <c r="Y42" s="294">
        <f t="shared" si="22"/>
        <v>12.16988048250833</v>
      </c>
      <c r="Z42" s="295">
        <f t="shared" si="0"/>
        <v>1.8944396766046592</v>
      </c>
      <c r="AA42" s="22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</row>
    <row r="43" spans="1:47" ht="12.75">
      <c r="A43" s="73"/>
      <c r="B43" s="334">
        <v>2900</v>
      </c>
      <c r="C43" s="262">
        <f t="shared" si="1"/>
        <v>17.64</v>
      </c>
      <c r="D43" s="263">
        <f t="shared" si="21"/>
        <v>51700</v>
      </c>
      <c r="E43" s="264">
        <f t="shared" si="3"/>
        <v>0.4405</v>
      </c>
      <c r="F43" s="262">
        <f t="shared" si="4"/>
        <v>1277.45</v>
      </c>
      <c r="G43" s="265">
        <f t="shared" si="5"/>
        <v>0.007197547345755411</v>
      </c>
      <c r="H43" s="265">
        <f t="shared" si="6"/>
        <v>9.19450685683525</v>
      </c>
      <c r="I43" s="320">
        <f t="shared" si="7"/>
        <v>17.872691514366576</v>
      </c>
      <c r="J43" s="262">
        <f t="shared" si="8"/>
        <v>6.4239999999999995</v>
      </c>
      <c r="K43" s="262">
        <f t="shared" si="9"/>
        <v>2.2378797882013406</v>
      </c>
      <c r="L43" s="162">
        <f t="shared" si="10"/>
        <v>0.2562079534135316</v>
      </c>
      <c r="M43" s="160">
        <f t="shared" si="11"/>
        <v>13.293565799479323</v>
      </c>
      <c r="N43" s="268">
        <f t="shared" si="12"/>
        <v>20.163131598958646</v>
      </c>
      <c r="O43" s="268">
        <f t="shared" si="13"/>
        <v>91.63635611641048</v>
      </c>
      <c r="P43" s="164">
        <f t="shared" si="14"/>
        <v>8858.813179211087</v>
      </c>
      <c r="Q43" s="277">
        <f t="shared" si="15"/>
        <v>60583.66107016947</v>
      </c>
      <c r="R43" s="274">
        <f t="shared" si="18"/>
        <v>0.4832412986026377</v>
      </c>
      <c r="S43" s="272">
        <f t="shared" si="16"/>
        <v>0.18327271223282096</v>
      </c>
      <c r="T43" s="297">
        <f t="shared" si="19"/>
        <v>24168.39111312237</v>
      </c>
      <c r="V43" s="273">
        <f t="shared" si="17"/>
        <v>4905</v>
      </c>
      <c r="W43" s="274"/>
      <c r="X43" s="278" t="str">
        <f t="shared" si="20"/>
        <v>Dépassement de la puisance disponible</v>
      </c>
      <c r="Y43" s="294">
        <f t="shared" si="22"/>
        <v>13.000785637375424</v>
      </c>
      <c r="Z43" s="295">
        <f t="shared" si="0"/>
        <v>2.023783567461928</v>
      </c>
      <c r="AA43" s="222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</row>
    <row r="44" spans="1:47" ht="12.75">
      <c r="A44" s="73"/>
      <c r="B44" s="336">
        <v>3000</v>
      </c>
      <c r="C44" s="337">
        <f t="shared" si="1"/>
        <v>17.64</v>
      </c>
      <c r="D44" s="338">
        <f t="shared" si="21"/>
        <v>51700</v>
      </c>
      <c r="E44" s="339">
        <f t="shared" si="3"/>
        <v>0.4405</v>
      </c>
      <c r="F44" s="337">
        <f t="shared" si="4"/>
        <v>1321.5</v>
      </c>
      <c r="G44" s="340">
        <f t="shared" si="5"/>
        <v>0.007197547345755411</v>
      </c>
      <c r="H44" s="340">
        <f t="shared" si="6"/>
        <v>9.511558817415775</v>
      </c>
      <c r="I44" s="341">
        <f t="shared" si="7"/>
        <v>18.488991221758525</v>
      </c>
      <c r="J44" s="337">
        <f t="shared" si="8"/>
        <v>6.4239999999999995</v>
      </c>
      <c r="K44" s="337">
        <f t="shared" si="9"/>
        <v>2.2378797882013406</v>
      </c>
      <c r="L44" s="342">
        <f t="shared" si="10"/>
        <v>0.27</v>
      </c>
      <c r="M44" s="343">
        <f t="shared" si="11"/>
        <v>13.496963591883723</v>
      </c>
      <c r="N44" s="344">
        <f t="shared" si="12"/>
        <v>20.569927183767447</v>
      </c>
      <c r="O44" s="344">
        <f t="shared" si="13"/>
        <v>91.63635611641048</v>
      </c>
      <c r="P44" s="345">
        <f t="shared" si="14"/>
        <v>9260.666932568356</v>
      </c>
      <c r="Q44" s="346">
        <f t="shared" si="15"/>
        <v>64300.86609886351</v>
      </c>
      <c r="R44" s="347">
        <f t="shared" si="18"/>
        <v>0.475958904109589</v>
      </c>
      <c r="S44" s="348">
        <f t="shared" si="16"/>
        <v>0.18327271223282096</v>
      </c>
      <c r="T44" s="349">
        <f t="shared" si="19"/>
        <v>25264.718407189946</v>
      </c>
      <c r="U44" s="350"/>
      <c r="V44" s="351">
        <f t="shared" si="17"/>
        <v>4905</v>
      </c>
      <c r="W44" s="347"/>
      <c r="X44" s="278" t="str">
        <f t="shared" si="20"/>
        <v>Dépassement de la puisance disponible</v>
      </c>
      <c r="Y44" s="352">
        <f t="shared" si="22"/>
        <v>13.798469119927791</v>
      </c>
      <c r="Z44" s="353">
        <f t="shared" si="0"/>
        <v>2.1479559651195195</v>
      </c>
      <c r="AA44" s="222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</row>
    <row r="45" spans="1:47" ht="12.75" hidden="1">
      <c r="A45" s="335" t="s">
        <v>190</v>
      </c>
      <c r="B45" s="275">
        <v>3100</v>
      </c>
      <c r="C45" s="262">
        <f t="shared" si="1"/>
        <v>17.64</v>
      </c>
      <c r="D45" s="263">
        <f>C45*B45</f>
        <v>54684</v>
      </c>
      <c r="E45" s="264">
        <f t="shared" si="3"/>
        <v>0.4405</v>
      </c>
      <c r="F45" s="262">
        <f t="shared" si="4"/>
        <v>1365.55</v>
      </c>
      <c r="G45" s="265">
        <f t="shared" si="5"/>
        <v>0.007197547345755411</v>
      </c>
      <c r="H45" s="265">
        <f t="shared" si="6"/>
        <v>9.828610777996301</v>
      </c>
      <c r="I45" s="276">
        <f t="shared" si="7"/>
        <v>19.105290929150478</v>
      </c>
      <c r="J45" s="267">
        <f t="shared" si="8"/>
        <v>6.4239999999999995</v>
      </c>
      <c r="K45" s="262">
        <f t="shared" si="9"/>
        <v>2.2378797882013406</v>
      </c>
      <c r="L45" s="162">
        <f t="shared" si="10"/>
        <v>0.2837920465864685</v>
      </c>
      <c r="M45" s="160">
        <f t="shared" si="11"/>
        <v>13.68336131573697</v>
      </c>
      <c r="N45" s="268">
        <f t="shared" si="12"/>
        <v>20.94272263147394</v>
      </c>
      <c r="O45" s="268">
        <f t="shared" si="13"/>
        <v>91.63635611641048</v>
      </c>
      <c r="P45" s="164">
        <f t="shared" si="14"/>
        <v>9635.981853830319</v>
      </c>
      <c r="Q45" s="164">
        <f t="shared" si="15"/>
        <v>67830.84853269148</v>
      </c>
      <c r="R45" s="274">
        <f t="shared" si="18"/>
        <v>0.4694752884009487</v>
      </c>
      <c r="S45" s="272">
        <f t="shared" si="16"/>
        <v>0.18327271223282096</v>
      </c>
      <c r="T45" s="164">
        <f t="shared" si="19"/>
        <v>26288.643127595624</v>
      </c>
      <c r="V45" s="273">
        <f t="shared" si="17"/>
        <v>4905</v>
      </c>
      <c r="W45" s="274"/>
      <c r="X45" s="278" t="str">
        <f t="shared" si="20"/>
        <v>Dépassement de la puisance disponible</v>
      </c>
      <c r="Y45" s="221"/>
      <c r="Z45" s="221"/>
      <c r="AA45" s="222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1:47" ht="12.75" hidden="1">
      <c r="A46" s="335" t="s">
        <v>194</v>
      </c>
      <c r="B46" s="275">
        <v>3200</v>
      </c>
      <c r="C46" s="262">
        <f t="shared" si="1"/>
        <v>17.64</v>
      </c>
      <c r="D46" s="263">
        <f>C46*B46</f>
        <v>56448</v>
      </c>
      <c r="E46" s="264">
        <f t="shared" si="3"/>
        <v>0.4405</v>
      </c>
      <c r="F46" s="262">
        <f t="shared" si="4"/>
        <v>1409.6</v>
      </c>
      <c r="G46" s="265">
        <f t="shared" si="5"/>
        <v>0.007197547345755411</v>
      </c>
      <c r="H46" s="265">
        <f t="shared" si="6"/>
        <v>10.145662738576826</v>
      </c>
      <c r="I46" s="276">
        <f t="shared" si="7"/>
        <v>19.721590636542427</v>
      </c>
      <c r="J46" s="267">
        <f t="shared" si="8"/>
        <v>6.4239999999999995</v>
      </c>
      <c r="K46" s="262">
        <f t="shared" si="9"/>
        <v>2.2378797882013406</v>
      </c>
      <c r="L46" s="162">
        <f t="shared" si="10"/>
        <v>0.297584093172937</v>
      </c>
      <c r="M46" s="160">
        <f t="shared" si="11"/>
        <v>13.852758971039062</v>
      </c>
      <c r="N46" s="268">
        <f t="shared" si="12"/>
        <v>21.281517942078125</v>
      </c>
      <c r="O46" s="268">
        <f t="shared" si="13"/>
        <v>91.63635611641048</v>
      </c>
      <c r="P46" s="164">
        <f t="shared" si="14"/>
        <v>9982.913576207158</v>
      </c>
      <c r="Q46" s="164">
        <f t="shared" si="15"/>
        <v>71142.98295862107</v>
      </c>
      <c r="R46" s="274">
        <f t="shared" si="18"/>
        <v>0.46373433721254953</v>
      </c>
      <c r="S46" s="272">
        <f t="shared" si="16"/>
        <v>0.18327271223282096</v>
      </c>
      <c r="T46" s="164">
        <f t="shared" si="19"/>
        <v>27235.133519291565</v>
      </c>
      <c r="V46" s="273">
        <f t="shared" si="17"/>
        <v>4905</v>
      </c>
      <c r="W46" s="274"/>
      <c r="X46" s="278" t="str">
        <f t="shared" si="20"/>
        <v>Dépassement de la puisance disponible</v>
      </c>
      <c r="Y46" s="221"/>
      <c r="Z46" s="221"/>
      <c r="AA46" s="222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1:47" ht="12.75" hidden="1">
      <c r="A47" s="335" t="s">
        <v>193</v>
      </c>
      <c r="B47" s="275">
        <v>3400</v>
      </c>
      <c r="C47" s="262">
        <f t="shared" si="1"/>
        <v>17.64</v>
      </c>
      <c r="D47" s="263">
        <f>C47*B47</f>
        <v>59976</v>
      </c>
      <c r="E47" s="264">
        <f t="shared" si="3"/>
        <v>0.4405</v>
      </c>
      <c r="F47" s="262">
        <f t="shared" si="4"/>
        <v>1497.7</v>
      </c>
      <c r="G47" s="265">
        <f t="shared" si="5"/>
        <v>0.007197547345755411</v>
      </c>
      <c r="H47" s="265">
        <f t="shared" si="6"/>
        <v>10.779766659737879</v>
      </c>
      <c r="I47" s="276">
        <f t="shared" si="7"/>
        <v>20.95419005132633</v>
      </c>
      <c r="J47" s="267">
        <f t="shared" si="8"/>
        <v>6.4239999999999995</v>
      </c>
      <c r="K47" s="262">
        <f t="shared" si="9"/>
        <v>2.2378797882013406</v>
      </c>
      <c r="L47" s="162">
        <f t="shared" si="10"/>
        <v>0.32516818634587397</v>
      </c>
      <c r="M47" s="160">
        <f t="shared" si="11"/>
        <v>14.140554075989792</v>
      </c>
      <c r="N47" s="268">
        <f t="shared" si="12"/>
        <v>21.857108151979585</v>
      </c>
      <c r="O47" s="268">
        <f t="shared" si="13"/>
        <v>91.63635611641048</v>
      </c>
      <c r="P47" s="164">
        <f t="shared" si="14"/>
        <v>10585.091017895542</v>
      </c>
      <c r="Q47" s="164">
        <f t="shared" si="15"/>
        <v>77001.55671912592</v>
      </c>
      <c r="R47" s="274">
        <f t="shared" si="18"/>
        <v>0.45429620122932424</v>
      </c>
      <c r="S47" s="272">
        <f t="shared" si="16"/>
        <v>0.18327271223282096</v>
      </c>
      <c r="T47" s="164">
        <f t="shared" si="19"/>
        <v>28877.97885712725</v>
      </c>
      <c r="V47" s="273">
        <f t="shared" si="17"/>
        <v>4905</v>
      </c>
      <c r="W47" s="274"/>
      <c r="X47" s="278" t="str">
        <f t="shared" si="20"/>
        <v>Dépassement de la puisance disponible</v>
      </c>
      <c r="Y47" s="221"/>
      <c r="Z47" s="221"/>
      <c r="AA47" s="222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1:47" ht="12.75" hidden="1">
      <c r="A48" s="73"/>
      <c r="B48" s="275">
        <v>3500</v>
      </c>
      <c r="C48" s="262">
        <f t="shared" si="1"/>
        <v>17.64</v>
      </c>
      <c r="D48" s="263">
        <f>C48*B48</f>
        <v>61740</v>
      </c>
      <c r="E48" s="264">
        <f t="shared" si="3"/>
        <v>0.4405</v>
      </c>
      <c r="F48" s="262">
        <f t="shared" si="4"/>
        <v>1541.75</v>
      </c>
      <c r="G48" s="265">
        <f t="shared" si="5"/>
        <v>0.007197547345755411</v>
      </c>
      <c r="H48" s="265">
        <f t="shared" si="6"/>
        <v>11.096818620318405</v>
      </c>
      <c r="I48" s="276">
        <f t="shared" si="7"/>
        <v>21.57048975871828</v>
      </c>
      <c r="J48" s="267">
        <f t="shared" si="8"/>
        <v>6.4239999999999995</v>
      </c>
      <c r="K48" s="262">
        <f t="shared" si="9"/>
        <v>2.2378797882013406</v>
      </c>
      <c r="L48" s="162">
        <f t="shared" si="10"/>
        <v>0.33896023293234245</v>
      </c>
      <c r="M48" s="160">
        <f t="shared" si="11"/>
        <v>14.258951525638425</v>
      </c>
      <c r="N48" s="268">
        <f t="shared" si="12"/>
        <v>22.09390305127685</v>
      </c>
      <c r="O48" s="268">
        <f t="shared" si="13"/>
        <v>91.63635611641048</v>
      </c>
      <c r="P48" s="164">
        <f t="shared" si="14"/>
        <v>10837.489064376792</v>
      </c>
      <c r="Q48" s="164">
        <f t="shared" si="15"/>
        <v>79497.7333987055</v>
      </c>
      <c r="R48" s="274">
        <f t="shared" si="18"/>
        <v>0.4505240086165714</v>
      </c>
      <c r="S48" s="272">
        <f t="shared" si="16"/>
        <v>0.18327271223282096</v>
      </c>
      <c r="T48" s="164">
        <f t="shared" si="19"/>
        <v>29566.564853935703</v>
      </c>
      <c r="V48" s="273">
        <f t="shared" si="17"/>
        <v>4905</v>
      </c>
      <c r="W48" s="274"/>
      <c r="X48" s="278" t="str">
        <f t="shared" si="20"/>
        <v>Dépassement de la puisance disponible</v>
      </c>
      <c r="Y48" s="221"/>
      <c r="Z48" s="221"/>
      <c r="AA48" s="222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1:47" ht="12.75" hidden="1">
      <c r="A49" s="73"/>
      <c r="B49" s="354">
        <v>3600</v>
      </c>
      <c r="C49" s="337">
        <f t="shared" si="1"/>
        <v>17.64</v>
      </c>
      <c r="D49" s="338">
        <f>C49*B49</f>
        <v>63504</v>
      </c>
      <c r="E49" s="339">
        <f t="shared" si="3"/>
        <v>0.4405</v>
      </c>
      <c r="F49" s="337">
        <f t="shared" si="4"/>
        <v>1585.8</v>
      </c>
      <c r="G49" s="340">
        <f t="shared" si="5"/>
        <v>0.007197547345755411</v>
      </c>
      <c r="H49" s="340">
        <f t="shared" si="6"/>
        <v>11.41387058089893</v>
      </c>
      <c r="I49" s="355">
        <f t="shared" si="7"/>
        <v>22.18678946611023</v>
      </c>
      <c r="J49" s="356">
        <f t="shared" si="8"/>
        <v>6.4239999999999995</v>
      </c>
      <c r="K49" s="337">
        <f t="shared" si="9"/>
        <v>2.2378797882013406</v>
      </c>
      <c r="L49" s="342">
        <f t="shared" si="10"/>
        <v>0.35275227951881083</v>
      </c>
      <c r="M49" s="343">
        <f t="shared" si="11"/>
        <v>14.360348906735906</v>
      </c>
      <c r="N49" s="344">
        <f t="shared" si="12"/>
        <v>22.296697813471813</v>
      </c>
      <c r="O49" s="344">
        <f t="shared" si="13"/>
        <v>91.63635611641048</v>
      </c>
      <c r="P49" s="345">
        <f t="shared" si="14"/>
        <v>11055.80856631235</v>
      </c>
      <c r="Q49" s="345">
        <f t="shared" si="15"/>
        <v>81675.91032911609</v>
      </c>
      <c r="R49" s="347">
        <f t="shared" si="18"/>
        <v>0.4473428912988834</v>
      </c>
      <c r="S49" s="348">
        <f t="shared" si="16"/>
        <v>0.18327271223282096</v>
      </c>
      <c r="T49" s="345">
        <f t="shared" si="19"/>
        <v>30162.17862337186</v>
      </c>
      <c r="U49" s="350"/>
      <c r="V49" s="351">
        <f t="shared" si="17"/>
        <v>4905</v>
      </c>
      <c r="W49" s="347"/>
      <c r="X49" s="278" t="str">
        <f t="shared" si="20"/>
        <v>Dépassement de la puisance disponible</v>
      </c>
      <c r="Y49" s="221"/>
      <c r="Z49" s="221"/>
      <c r="AA49" s="222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1:47" ht="12.75">
      <c r="A50" s="73"/>
      <c r="B50" s="357"/>
      <c r="C50" s="262"/>
      <c r="D50" s="263"/>
      <c r="E50" s="264"/>
      <c r="F50" s="262"/>
      <c r="G50" s="265"/>
      <c r="H50" s="265"/>
      <c r="I50" s="166"/>
      <c r="J50" s="262"/>
      <c r="K50" s="262"/>
      <c r="N50" s="268"/>
      <c r="O50" s="268"/>
      <c r="S50" s="358"/>
      <c r="T50" s="164"/>
      <c r="V50" s="273"/>
      <c r="X50" s="278"/>
      <c r="Y50" s="221"/>
      <c r="Z50" s="221"/>
      <c r="AA50" s="222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1:47" ht="12.75">
      <c r="A51" s="73"/>
      <c r="B51" s="357"/>
      <c r="C51" s="262"/>
      <c r="D51" s="263"/>
      <c r="E51" s="264"/>
      <c r="F51" s="262"/>
      <c r="G51" s="265"/>
      <c r="H51" s="265"/>
      <c r="I51" s="166"/>
      <c r="J51" s="262"/>
      <c r="K51" s="262"/>
      <c r="N51" s="268"/>
      <c r="O51" s="268"/>
      <c r="S51" s="358"/>
      <c r="T51" s="164"/>
      <c r="V51" s="273"/>
      <c r="X51" s="278"/>
      <c r="Y51" s="221"/>
      <c r="Z51" s="221"/>
      <c r="AA51" s="222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2:35" s="73" customFormat="1" ht="12.75">
      <c r="B52" s="168"/>
      <c r="C52" s="169"/>
      <c r="D52" s="168"/>
      <c r="E52" s="170"/>
      <c r="F52" s="169"/>
      <c r="G52" s="171"/>
      <c r="H52" s="171"/>
      <c r="I52" s="169"/>
      <c r="J52" s="169"/>
      <c r="K52" s="169"/>
      <c r="L52" s="177"/>
      <c r="M52" s="169"/>
      <c r="N52" s="177"/>
      <c r="O52" s="177"/>
      <c r="P52" s="165"/>
      <c r="Q52" s="165"/>
      <c r="R52" s="177"/>
      <c r="S52" s="165"/>
      <c r="T52" s="177"/>
      <c r="U52" s="165"/>
      <c r="V52" s="359"/>
      <c r="W52" s="177"/>
      <c r="X52" s="165"/>
      <c r="Y52" s="177"/>
      <c r="Z52" s="177"/>
      <c r="AA52" s="169"/>
      <c r="AB52" s="165"/>
      <c r="AC52" s="165"/>
      <c r="AD52" s="165"/>
      <c r="AE52" s="165"/>
      <c r="AF52" s="165"/>
      <c r="AG52" s="165"/>
      <c r="AH52" s="165"/>
      <c r="AI52" s="165"/>
    </row>
    <row r="53" spans="1:48" s="73" customFormat="1" ht="18">
      <c r="A53" s="167" t="s">
        <v>145</v>
      </c>
      <c r="B53" s="168"/>
      <c r="C53" s="169"/>
      <c r="E53" s="170"/>
      <c r="G53" s="171"/>
      <c r="I53" s="172" t="s">
        <v>146</v>
      </c>
      <c r="J53" s="173"/>
      <c r="K53" s="173"/>
      <c r="L53" s="174">
        <f>'PAS &amp; DIAMETRE'!F16</f>
        <v>19.02305915868084</v>
      </c>
      <c r="M53" s="175" t="s">
        <v>147</v>
      </c>
      <c r="N53" s="176"/>
      <c r="O53" s="176"/>
      <c r="P53" s="174">
        <f>'PAS &amp; DIAMETRE'!F18</f>
        <v>17.002080344304122</v>
      </c>
      <c r="Q53" s="169"/>
      <c r="R53" s="177"/>
      <c r="S53" s="165"/>
      <c r="T53" s="177"/>
      <c r="U53" s="165"/>
      <c r="V53" s="177"/>
      <c r="W53" s="177"/>
      <c r="X53" s="169"/>
      <c r="Y53" s="221"/>
      <c r="Z53" s="221"/>
      <c r="AA53" s="222"/>
      <c r="AB53"/>
      <c r="AC53"/>
      <c r="AD53"/>
      <c r="AE53"/>
      <c r="AP53"/>
      <c r="AQ53"/>
      <c r="AR53"/>
      <c r="AS53"/>
      <c r="AT53"/>
      <c r="AU53"/>
      <c r="AV53"/>
    </row>
    <row r="54" spans="1:48" s="223" customFormat="1" ht="12.75">
      <c r="A54" s="214"/>
      <c r="B54" s="168"/>
      <c r="C54" s="169"/>
      <c r="D54" s="73"/>
      <c r="E54" s="170"/>
      <c r="F54" s="179" t="s">
        <v>148</v>
      </c>
      <c r="G54" s="180"/>
      <c r="H54" s="360">
        <f>'PAS &amp; DIAMETRE'!E10</f>
        <v>52.92</v>
      </c>
      <c r="I54" s="169"/>
      <c r="J54" s="169"/>
      <c r="K54" s="169"/>
      <c r="L54" s="177"/>
      <c r="M54" s="73"/>
      <c r="N54" s="177"/>
      <c r="O54" s="177"/>
      <c r="P54" s="73"/>
      <c r="Q54" s="169"/>
      <c r="R54" s="177"/>
      <c r="S54" s="165"/>
      <c r="T54" s="177"/>
      <c r="U54" s="165"/>
      <c r="V54" s="177"/>
      <c r="W54" s="177"/>
      <c r="X54" s="169"/>
      <c r="Y54" s="221"/>
      <c r="Z54" s="221"/>
      <c r="AA54" s="222"/>
      <c r="AB54"/>
      <c r="AC54"/>
      <c r="AD54"/>
      <c r="AE54"/>
      <c r="AP54"/>
      <c r="AQ54"/>
      <c r="AR54"/>
      <c r="AS54"/>
      <c r="AT54"/>
      <c r="AU54"/>
      <c r="AV54"/>
    </row>
    <row r="55" spans="1:48" s="260" customFormat="1" ht="12.75">
      <c r="A55" s="182" t="s">
        <v>147</v>
      </c>
      <c r="B55" s="193">
        <f>'PAS &amp; DIAMETRE'!E18</f>
        <v>0.43185284074532465</v>
      </c>
      <c r="C55" s="169"/>
      <c r="D55" s="73"/>
      <c r="E55" s="170"/>
      <c r="F55" s="175" t="s">
        <v>149</v>
      </c>
      <c r="G55" s="180"/>
      <c r="H55" s="361">
        <f>'PAS &amp; DIAMETRE'!B17</f>
        <v>3000</v>
      </c>
      <c r="I55" s="185" t="s">
        <v>150</v>
      </c>
      <c r="J55" s="186"/>
      <c r="K55" s="186"/>
      <c r="L55" s="187"/>
      <c r="M55" s="188"/>
      <c r="N55" s="187"/>
      <c r="O55" s="187"/>
      <c r="P55" s="188"/>
      <c r="Q55" s="186"/>
      <c r="R55" s="187"/>
      <c r="S55" s="189"/>
      <c r="T55" s="187"/>
      <c r="U55" s="189"/>
      <c r="V55" s="187"/>
      <c r="W55" s="187"/>
      <c r="X55" s="186"/>
      <c r="Y55" s="362"/>
      <c r="Z55" s="221"/>
      <c r="AA55" s="222"/>
      <c r="AB55"/>
      <c r="AC55"/>
      <c r="AD55"/>
      <c r="AE55"/>
      <c r="AP55"/>
      <c r="AQ55"/>
      <c r="AR55"/>
      <c r="AS55"/>
      <c r="AT55"/>
      <c r="AU55"/>
      <c r="AV55"/>
    </row>
    <row r="56" spans="1:48" s="260" customFormat="1" ht="12.75">
      <c r="A56" s="191" t="s">
        <v>151</v>
      </c>
      <c r="B56" s="363">
        <f>B4</f>
        <v>2.2378797882013406</v>
      </c>
      <c r="C56" s="193"/>
      <c r="D56" s="73"/>
      <c r="E56" s="170"/>
      <c r="F56" s="194" t="s">
        <v>152</v>
      </c>
      <c r="G56" s="194"/>
      <c r="H56" s="184">
        <f>H4</f>
        <v>1000</v>
      </c>
      <c r="I56" s="185" t="s">
        <v>153</v>
      </c>
      <c r="J56" s="186"/>
      <c r="K56" s="186"/>
      <c r="L56" s="187"/>
      <c r="M56" s="188"/>
      <c r="N56" s="187"/>
      <c r="O56" s="187"/>
      <c r="P56" s="188"/>
      <c r="Q56" s="186"/>
      <c r="R56" s="187"/>
      <c r="S56" s="189"/>
      <c r="T56" s="187"/>
      <c r="U56" s="189"/>
      <c r="V56" s="187"/>
      <c r="W56" s="187"/>
      <c r="X56" s="188"/>
      <c r="Y56" s="362"/>
      <c r="Z56" s="221"/>
      <c r="AA56" s="222"/>
      <c r="AB56"/>
      <c r="AC56"/>
      <c r="AD56"/>
      <c r="AE56"/>
      <c r="AP56"/>
      <c r="AQ56"/>
      <c r="AR56"/>
      <c r="AS56"/>
      <c r="AT56"/>
      <c r="AU56"/>
      <c r="AV56"/>
    </row>
    <row r="57" spans="1:48" s="260" customFormat="1" ht="12.75">
      <c r="A57" s="182" t="s">
        <v>154</v>
      </c>
      <c r="B57" s="364">
        <f>'PAS &amp; DIAMETRE'!E16</f>
        <v>0.4831857026304933</v>
      </c>
      <c r="C57" s="193"/>
      <c r="D57" s="73"/>
      <c r="E57" s="170"/>
      <c r="F57" s="175" t="s">
        <v>155</v>
      </c>
      <c r="G57" s="180"/>
      <c r="H57" s="365">
        <f>3.14*B57*B57/4</f>
        <v>0.18327271223282096</v>
      </c>
      <c r="I57" s="73"/>
      <c r="J57" s="73"/>
      <c r="K57" s="73"/>
      <c r="L57" s="177"/>
      <c r="M57" s="73"/>
      <c r="N57" s="177"/>
      <c r="O57" s="177"/>
      <c r="P57" s="73"/>
      <c r="Q57" s="73"/>
      <c r="R57" s="177"/>
      <c r="S57" s="165"/>
      <c r="T57" s="177"/>
      <c r="U57" s="165"/>
      <c r="V57" s="177"/>
      <c r="W57" s="177"/>
      <c r="X57" s="73"/>
      <c r="Y57" s="221"/>
      <c r="Z57" s="221"/>
      <c r="AA57" s="222"/>
      <c r="AB57"/>
      <c r="AC57"/>
      <c r="AD57"/>
      <c r="AE57"/>
      <c r="AP57"/>
      <c r="AQ57"/>
      <c r="AR57"/>
      <c r="AS57"/>
      <c r="AT57"/>
      <c r="AU57"/>
      <c r="AV57"/>
    </row>
    <row r="58" spans="1:48" s="260" customFormat="1" ht="13.5">
      <c r="A58" s="182" t="s">
        <v>156</v>
      </c>
      <c r="B58" s="193">
        <f>B6</f>
        <v>0.27</v>
      </c>
      <c r="C58" s="193"/>
      <c r="D58" s="73"/>
      <c r="E58" s="170"/>
      <c r="F58" s="202" t="s">
        <v>157</v>
      </c>
      <c r="G58" s="194"/>
      <c r="H58" s="193">
        <f>H57*H56/2</f>
        <v>91.63635611641048</v>
      </c>
      <c r="I58" s="203" t="s">
        <v>158</v>
      </c>
      <c r="J58" s="203"/>
      <c r="K58" s="203"/>
      <c r="L58" s="177"/>
      <c r="M58" s="73"/>
      <c r="N58" s="177"/>
      <c r="O58" s="177"/>
      <c r="P58" s="73"/>
      <c r="Q58" s="366" t="s">
        <v>195</v>
      </c>
      <c r="R58" s="197"/>
      <c r="S58" s="205"/>
      <c r="T58" s="197"/>
      <c r="U58" s="205"/>
      <c r="V58" s="197"/>
      <c r="W58" s="197"/>
      <c r="X58" s="73"/>
      <c r="Y58" s="221"/>
      <c r="Z58" s="221"/>
      <c r="AA58" s="222"/>
      <c r="AB58"/>
      <c r="AC58"/>
      <c r="AD58"/>
      <c r="AE58"/>
      <c r="AP58"/>
      <c r="AQ58"/>
      <c r="AR58"/>
      <c r="AS58"/>
      <c r="AT58"/>
      <c r="AU58"/>
      <c r="AV58"/>
    </row>
    <row r="59" spans="1:48" s="260" customFormat="1" ht="12.75">
      <c r="A59" s="172" t="s">
        <v>196</v>
      </c>
      <c r="B59" s="364">
        <f>'PAS &amp; DIAMETRE'!B16</f>
        <v>0.4405</v>
      </c>
      <c r="C59" s="193"/>
      <c r="D59" s="73"/>
      <c r="E59" s="170"/>
      <c r="F59" s="172" t="s">
        <v>160</v>
      </c>
      <c r="G59" s="207"/>
      <c r="H59" s="364">
        <f>H7</f>
        <v>0.515</v>
      </c>
      <c r="I59" s="203" t="s">
        <v>197</v>
      </c>
      <c r="J59" s="203"/>
      <c r="K59" s="203"/>
      <c r="L59" s="177"/>
      <c r="M59" s="73"/>
      <c r="N59" s="177"/>
      <c r="O59" s="177"/>
      <c r="P59" s="73"/>
      <c r="Q59" s="367" t="s">
        <v>198</v>
      </c>
      <c r="R59" s="176"/>
      <c r="S59" s="203"/>
      <c r="T59" s="176"/>
      <c r="U59" s="203"/>
      <c r="V59" s="176"/>
      <c r="W59" s="176"/>
      <c r="X59" s="73"/>
      <c r="Y59" s="221"/>
      <c r="Z59" s="221"/>
      <c r="AA59" s="222"/>
      <c r="AB59"/>
      <c r="AC59"/>
      <c r="AD59"/>
      <c r="AE59"/>
      <c r="AP59"/>
      <c r="AQ59"/>
      <c r="AR59"/>
      <c r="AS59"/>
      <c r="AT59"/>
      <c r="AU59"/>
      <c r="AV59"/>
    </row>
    <row r="60" spans="1:48" s="260" customFormat="1" ht="12.75">
      <c r="A60" s="172"/>
      <c r="B60" s="211"/>
      <c r="C60" s="211"/>
      <c r="D60" s="73"/>
      <c r="E60" s="170"/>
      <c r="F60" s="172" t="s">
        <v>162</v>
      </c>
      <c r="G60" s="207"/>
      <c r="H60" s="360">
        <f>H8</f>
        <v>0.5</v>
      </c>
      <c r="I60" s="203"/>
      <c r="J60" s="203"/>
      <c r="K60" s="203"/>
      <c r="L60" s="177"/>
      <c r="M60" s="73"/>
      <c r="N60" s="177"/>
      <c r="O60" s="177"/>
      <c r="P60" s="73"/>
      <c r="Q60" s="203"/>
      <c r="R60" s="176"/>
      <c r="S60" s="203"/>
      <c r="T60" s="176"/>
      <c r="U60" s="203"/>
      <c r="V60" s="176"/>
      <c r="W60" s="176"/>
      <c r="X60" s="73"/>
      <c r="Y60" s="221"/>
      <c r="Z60" s="221"/>
      <c r="AA60" s="222"/>
      <c r="AB60"/>
      <c r="AC60"/>
      <c r="AD60"/>
      <c r="AE60"/>
      <c r="AP60"/>
      <c r="AQ60"/>
      <c r="AR60"/>
      <c r="AS60"/>
      <c r="AT60"/>
      <c r="AU60"/>
      <c r="AV60"/>
    </row>
    <row r="61" spans="1:48" s="260" customFormat="1" ht="12.75">
      <c r="A61" s="213" t="s">
        <v>163</v>
      </c>
      <c r="B61" s="211"/>
      <c r="C61" s="211"/>
      <c r="D61" s="73"/>
      <c r="E61" s="170"/>
      <c r="F61" s="210"/>
      <c r="G61" s="207"/>
      <c r="H61" s="204"/>
      <c r="I61" s="203"/>
      <c r="J61" s="203"/>
      <c r="K61" s="203"/>
      <c r="L61" s="177"/>
      <c r="M61" s="73"/>
      <c r="N61" s="177"/>
      <c r="O61" s="177"/>
      <c r="P61" s="73"/>
      <c r="Q61" s="203"/>
      <c r="R61" s="176"/>
      <c r="S61" s="203"/>
      <c r="T61" s="176"/>
      <c r="U61" s="203"/>
      <c r="V61" s="176"/>
      <c r="W61" s="176"/>
      <c r="X61" s="73"/>
      <c r="Y61" s="221"/>
      <c r="Z61" s="221"/>
      <c r="AA61" s="222"/>
      <c r="AB61"/>
      <c r="AC61"/>
      <c r="AD61"/>
      <c r="AE61"/>
      <c r="AP61"/>
      <c r="AQ61"/>
      <c r="AR61"/>
      <c r="AS61"/>
      <c r="AT61"/>
      <c r="AU61"/>
      <c r="AV61"/>
    </row>
    <row r="62" spans="1:48" s="260" customFormat="1" ht="12.75">
      <c r="A62" s="368" t="s">
        <v>199</v>
      </c>
      <c r="B62" s="369"/>
      <c r="C62" s="218"/>
      <c r="D62" s="370"/>
      <c r="E62" s="371"/>
      <c r="F62" s="368"/>
      <c r="G62" s="372"/>
      <c r="H62" s="368"/>
      <c r="I62" s="369"/>
      <c r="J62" s="368"/>
      <c r="K62" s="368"/>
      <c r="L62" s="187"/>
      <c r="M62" s="368"/>
      <c r="N62" s="373"/>
      <c r="O62" s="373"/>
      <c r="P62" s="368"/>
      <c r="Q62" s="374"/>
      <c r="R62" s="373"/>
      <c r="S62" s="374"/>
      <c r="T62" s="373"/>
      <c r="U62" s="374"/>
      <c r="V62" s="373"/>
      <c r="W62" s="373"/>
      <c r="X62" s="374"/>
      <c r="Y62" s="221"/>
      <c r="Z62" s="221"/>
      <c r="AA62" s="375"/>
      <c r="AB62"/>
      <c r="AC62"/>
      <c r="AD62"/>
      <c r="AE62"/>
      <c r="AP62"/>
      <c r="AQ62"/>
      <c r="AR62"/>
      <c r="AS62"/>
      <c r="AT62"/>
      <c r="AU62"/>
      <c r="AV62"/>
    </row>
    <row r="63" spans="1:48" ht="12.75">
      <c r="A63" s="217" t="s">
        <v>164</v>
      </c>
      <c r="B63" s="376"/>
      <c r="C63" s="218"/>
      <c r="D63" s="219"/>
      <c r="E63" s="377"/>
      <c r="F63" s="218"/>
      <c r="G63" s="372"/>
      <c r="H63" s="378"/>
      <c r="I63" s="186"/>
      <c r="J63" s="188"/>
      <c r="K63" s="188"/>
      <c r="L63" s="379" t="s">
        <v>200</v>
      </c>
      <c r="M63" s="380">
        <v>7.22</v>
      </c>
      <c r="N63" s="177"/>
      <c r="O63" s="177"/>
      <c r="P63" s="175" t="s">
        <v>166</v>
      </c>
      <c r="Q63" s="212">
        <f>1.33*M63/'PAS &amp; DIAMETRE'!E12</f>
        <v>1.0492930791874926</v>
      </c>
      <c r="R63" s="197"/>
      <c r="S63" s="205"/>
      <c r="T63" s="381" t="s">
        <v>201</v>
      </c>
      <c r="U63" s="382" t="s">
        <v>201</v>
      </c>
      <c r="V63" s="381"/>
      <c r="W63" s="197" t="s">
        <v>202</v>
      </c>
      <c r="X63"/>
      <c r="Y63" s="221"/>
      <c r="Z63" s="221"/>
      <c r="AA63" s="222"/>
      <c r="AB63"/>
      <c r="AC63"/>
      <c r="AD63"/>
      <c r="AE63"/>
      <c r="AF63" s="36"/>
      <c r="AG63" s="36"/>
      <c r="AH63" s="36"/>
      <c r="AI63" s="36"/>
      <c r="AP63"/>
      <c r="AQ63"/>
      <c r="AR63"/>
      <c r="AS63"/>
      <c r="AT63"/>
      <c r="AU63"/>
      <c r="AV63"/>
    </row>
    <row r="64" spans="1:48" ht="12.75">
      <c r="A64" s="223"/>
      <c r="B64" s="224" t="s">
        <v>168</v>
      </c>
      <c r="C64" s="225" t="s">
        <v>169</v>
      </c>
      <c r="D64" s="226" t="s">
        <v>203</v>
      </c>
      <c r="E64" s="227" t="s">
        <v>171</v>
      </c>
      <c r="F64" s="225" t="s">
        <v>172</v>
      </c>
      <c r="G64" s="228" t="s">
        <v>173</v>
      </c>
      <c r="H64" s="228" t="s">
        <v>174</v>
      </c>
      <c r="I64" s="229" t="s">
        <v>175</v>
      </c>
      <c r="J64" s="230" t="s">
        <v>176</v>
      </c>
      <c r="K64" s="225" t="s">
        <v>177</v>
      </c>
      <c r="L64" s="231" t="s">
        <v>178</v>
      </c>
      <c r="M64" s="225" t="s">
        <v>179</v>
      </c>
      <c r="N64" s="231" t="s">
        <v>180</v>
      </c>
      <c r="O64" s="232" t="s">
        <v>181</v>
      </c>
      <c r="P64" s="237" t="s">
        <v>204</v>
      </c>
      <c r="Q64" s="234" t="s">
        <v>183</v>
      </c>
      <c r="R64" s="235" t="s">
        <v>184</v>
      </c>
      <c r="S64" s="236" t="s">
        <v>185</v>
      </c>
      <c r="T64" s="231" t="s">
        <v>186</v>
      </c>
      <c r="U64" s="237" t="s">
        <v>205</v>
      </c>
      <c r="V64" s="231" t="s">
        <v>206</v>
      </c>
      <c r="W64" s="383" t="s">
        <v>207</v>
      </c>
      <c r="X64" s="384"/>
      <c r="Y64" s="240" t="s">
        <v>52</v>
      </c>
      <c r="Z64" s="240" t="s">
        <v>53</v>
      </c>
      <c r="AA64" s="385"/>
      <c r="AB64"/>
      <c r="AC64"/>
      <c r="AD64"/>
      <c r="AE64"/>
      <c r="AF64" s="36"/>
      <c r="AG64" s="36"/>
      <c r="AH64" s="36"/>
      <c r="AI64" s="36"/>
      <c r="AP64"/>
      <c r="AQ64"/>
      <c r="AR64"/>
      <c r="AS64"/>
      <c r="AT64"/>
      <c r="AU64"/>
      <c r="AV64"/>
    </row>
    <row r="65" spans="1:48" ht="12.75" hidden="1">
      <c r="A65" s="223"/>
      <c r="B65" s="241"/>
      <c r="C65" s="242">
        <f>H54*1000/H55</f>
        <v>17.64</v>
      </c>
      <c r="D65" s="243"/>
      <c r="E65" s="244">
        <f>B59</f>
        <v>0.4405</v>
      </c>
      <c r="F65" s="245"/>
      <c r="G65" s="246">
        <f>B55/60</f>
        <v>0.007197547345755411</v>
      </c>
      <c r="H65" s="246"/>
      <c r="I65" s="247"/>
      <c r="J65" s="248">
        <f>M63</f>
        <v>7.22</v>
      </c>
      <c r="K65" s="242">
        <f>B56</f>
        <v>2.2378797882013406</v>
      </c>
      <c r="L65" s="249"/>
      <c r="M65" s="245"/>
      <c r="N65" s="249"/>
      <c r="O65" s="250">
        <f>H58</f>
        <v>91.63635611641048</v>
      </c>
      <c r="P65" s="251"/>
      <c r="Q65" s="252"/>
      <c r="R65" s="253"/>
      <c r="S65" s="254">
        <f>H57</f>
        <v>0.18327271223282096</v>
      </c>
      <c r="T65" s="386"/>
      <c r="U65" s="387"/>
      <c r="V65" s="388">
        <f>H59</f>
        <v>0.515</v>
      </c>
      <c r="W65" s="289"/>
      <c r="X65"/>
      <c r="Y65" s="258"/>
      <c r="Z65" s="259"/>
      <c r="AA65" s="160"/>
      <c r="AB65"/>
      <c r="AC65"/>
      <c r="AD65"/>
      <c r="AE65"/>
      <c r="AF65" s="36"/>
      <c r="AG65" s="36"/>
      <c r="AH65" s="36"/>
      <c r="AI65" s="36"/>
      <c r="AP65"/>
      <c r="AQ65"/>
      <c r="AR65"/>
      <c r="AS65"/>
      <c r="AT65"/>
      <c r="AU65"/>
      <c r="AV65"/>
    </row>
    <row r="66" spans="1:48" ht="12.75" hidden="1">
      <c r="A66" s="260"/>
      <c r="B66" s="261">
        <v>0</v>
      </c>
      <c r="C66" s="262">
        <f aca="true" t="shared" si="23" ref="C66:C101">C65</f>
        <v>17.64</v>
      </c>
      <c r="D66" s="263">
        <f aca="true" t="shared" si="24" ref="D66:D75">C66*B66</f>
        <v>0</v>
      </c>
      <c r="E66" s="264">
        <f aca="true" t="shared" si="25" ref="E66:E101">E65</f>
        <v>0.4405</v>
      </c>
      <c r="F66" s="262">
        <f aca="true" t="shared" si="26" ref="F66:F101">E66*B66</f>
        <v>0</v>
      </c>
      <c r="G66" s="265">
        <f aca="true" t="shared" si="27" ref="G66:G101">G65</f>
        <v>0.007197547345755411</v>
      </c>
      <c r="H66" s="265">
        <f aca="true" t="shared" si="28" ref="H66:H101">G66*F66</f>
        <v>0</v>
      </c>
      <c r="I66" s="266">
        <f aca="true" t="shared" si="29" ref="I66:I101">H66*(3600/1852)</f>
        <v>0</v>
      </c>
      <c r="J66" s="267">
        <f aca="true" t="shared" si="30" ref="J66:J101">J65</f>
        <v>7.22</v>
      </c>
      <c r="K66" s="262">
        <f aca="true" t="shared" si="31" ref="K66:K101">K65</f>
        <v>2.2378797882013406</v>
      </c>
      <c r="L66" s="162">
        <f aca="true" t="shared" si="32" ref="L66:L101">K66*(I66-J66)/100</f>
        <v>-0.16157492070813678</v>
      </c>
      <c r="M66" s="262">
        <f aca="true" t="shared" si="33" ref="M66:M101">(1-L66)*H66*(3600/1852)</f>
        <v>0</v>
      </c>
      <c r="N66" s="268">
        <f aca="true" t="shared" si="34" ref="N66:N101">2*M66-J66</f>
        <v>-7.22</v>
      </c>
      <c r="O66" s="268">
        <f aca="true" t="shared" si="35" ref="O66:O101">O65</f>
        <v>91.63635611641048</v>
      </c>
      <c r="P66" s="269">
        <f aca="true" t="shared" si="36" ref="P66:P101">O66*((N66-J66)*(1852/3600))*((N66+J66)*(1852/3600))</f>
        <v>0</v>
      </c>
      <c r="Q66" s="270">
        <f aca="true" t="shared" si="37" ref="Q66:Q101">(P66*((N66+J66)*(1852/3600))/2)</f>
        <v>0</v>
      </c>
      <c r="R66" s="271"/>
      <c r="S66" s="272">
        <f aca="true" t="shared" si="38" ref="S66:S101">S65</f>
        <v>0.18327271223282096</v>
      </c>
      <c r="T66" s="162">
        <f aca="true" t="shared" si="39" ref="T66:T101">P66/(S66)</f>
        <v>0</v>
      </c>
      <c r="U66" s="358">
        <f aca="true" t="shared" si="40" ref="U66:U101">T66/(9.81*10000)</f>
        <v>0</v>
      </c>
      <c r="V66" s="358">
        <f aca="true" t="shared" si="41" ref="V66:V101">V65</f>
        <v>0.515</v>
      </c>
      <c r="W66" s="274">
        <f aca="true" t="shared" si="42" ref="W66:W76">U66/V66</f>
        <v>0</v>
      </c>
      <c r="X66"/>
      <c r="Y66" s="258"/>
      <c r="Z66" s="259"/>
      <c r="AA66" s="160"/>
      <c r="AB66"/>
      <c r="AC66"/>
      <c r="AD66"/>
      <c r="AE66"/>
      <c r="AF66" s="36"/>
      <c r="AG66" s="36"/>
      <c r="AH66" s="36"/>
      <c r="AI66" s="36"/>
      <c r="AP66"/>
      <c r="AQ66"/>
      <c r="AR66"/>
      <c r="AS66"/>
      <c r="AT66"/>
      <c r="AU66"/>
      <c r="AV66"/>
    </row>
    <row r="67" spans="1:48" ht="12.75" hidden="1">
      <c r="A67" s="260"/>
      <c r="B67" s="261">
        <v>100</v>
      </c>
      <c r="C67" s="262">
        <f t="shared" si="23"/>
        <v>17.64</v>
      </c>
      <c r="D67" s="263">
        <f t="shared" si="24"/>
        <v>1764</v>
      </c>
      <c r="E67" s="264">
        <f t="shared" si="25"/>
        <v>0.4405</v>
      </c>
      <c r="F67" s="262">
        <f t="shared" si="26"/>
        <v>44.05</v>
      </c>
      <c r="G67" s="265">
        <f t="shared" si="27"/>
        <v>0.007197547345755411</v>
      </c>
      <c r="H67" s="265">
        <f t="shared" si="28"/>
        <v>0.3170519605805258</v>
      </c>
      <c r="I67" s="266">
        <f t="shared" si="29"/>
        <v>0.6162997073919508</v>
      </c>
      <c r="J67" s="267">
        <f t="shared" si="30"/>
        <v>7.22</v>
      </c>
      <c r="K67" s="262">
        <f t="shared" si="31"/>
        <v>2.2378797882013406</v>
      </c>
      <c r="L67" s="162">
        <f t="shared" si="32"/>
        <v>-0.14778287412166832</v>
      </c>
      <c r="M67" s="262">
        <f t="shared" si="33"/>
        <v>0.7073782494706765</v>
      </c>
      <c r="N67" s="268">
        <f t="shared" si="34"/>
        <v>-5.805243501058647</v>
      </c>
      <c r="O67" s="268">
        <f t="shared" si="35"/>
        <v>91.63635611641048</v>
      </c>
      <c r="P67" s="269">
        <f t="shared" si="36"/>
        <v>-446.90202555693713</v>
      </c>
      <c r="Q67" s="270">
        <f t="shared" si="37"/>
        <v>-162.63069075368702</v>
      </c>
      <c r="R67" s="271">
        <f aca="true" t="shared" si="43" ref="R67:R101">J67/M67</f>
        <v>10.206703422677538</v>
      </c>
      <c r="S67" s="272">
        <f t="shared" si="38"/>
        <v>0.18327271223282096</v>
      </c>
      <c r="T67" s="162">
        <f t="shared" si="39"/>
        <v>-2438.453712570227</v>
      </c>
      <c r="U67" s="358">
        <f t="shared" si="40"/>
        <v>-0.024856816641898337</v>
      </c>
      <c r="V67" s="358">
        <f t="shared" si="41"/>
        <v>0.515</v>
      </c>
      <c r="W67" s="274">
        <f t="shared" si="42"/>
        <v>-0.048265663382326865</v>
      </c>
      <c r="X67"/>
      <c r="Y67" s="258"/>
      <c r="Z67" s="259"/>
      <c r="AA67" s="160"/>
      <c r="AB67"/>
      <c r="AC67"/>
      <c r="AD67"/>
      <c r="AE67"/>
      <c r="AF67" s="36"/>
      <c r="AG67" s="36"/>
      <c r="AH67" s="36"/>
      <c r="AI67" s="36"/>
      <c r="AP67"/>
      <c r="AQ67"/>
      <c r="AR67"/>
      <c r="AS67"/>
      <c r="AT67"/>
      <c r="AU67"/>
      <c r="AV67"/>
    </row>
    <row r="68" spans="1:48" ht="12.75" hidden="1">
      <c r="A68" s="260"/>
      <c r="B68" s="261">
        <v>200</v>
      </c>
      <c r="C68" s="262">
        <f t="shared" si="23"/>
        <v>17.64</v>
      </c>
      <c r="D68" s="263">
        <f t="shared" si="24"/>
        <v>3528</v>
      </c>
      <c r="E68" s="264">
        <f t="shared" si="25"/>
        <v>0.4405</v>
      </c>
      <c r="F68" s="262">
        <f t="shared" si="26"/>
        <v>88.1</v>
      </c>
      <c r="G68" s="265">
        <f t="shared" si="27"/>
        <v>0.007197547345755411</v>
      </c>
      <c r="H68" s="265">
        <f t="shared" si="28"/>
        <v>0.6341039211610516</v>
      </c>
      <c r="I68" s="266">
        <f t="shared" si="29"/>
        <v>1.2325994147839017</v>
      </c>
      <c r="J68" s="267">
        <f t="shared" si="30"/>
        <v>7.22</v>
      </c>
      <c r="K68" s="262">
        <f t="shared" si="31"/>
        <v>2.2378797882013406</v>
      </c>
      <c r="L68" s="162">
        <f t="shared" si="32"/>
        <v>-0.13399082753519984</v>
      </c>
      <c r="M68" s="262">
        <f t="shared" si="33"/>
        <v>1.3977564303901995</v>
      </c>
      <c r="N68" s="268">
        <f t="shared" si="34"/>
        <v>-4.4244871392196</v>
      </c>
      <c r="O68" s="268">
        <f t="shared" si="35"/>
        <v>91.63635611641048</v>
      </c>
      <c r="P68" s="269">
        <f t="shared" si="36"/>
        <v>-789.4536456170636</v>
      </c>
      <c r="Q68" s="270">
        <f t="shared" si="37"/>
        <v>-567.6708779675972</v>
      </c>
      <c r="R68" s="271">
        <f t="shared" si="43"/>
        <v>5.1654207006470045</v>
      </c>
      <c r="S68" s="272">
        <f t="shared" si="38"/>
        <v>0.18327271223282096</v>
      </c>
      <c r="T68" s="162">
        <f t="shared" si="39"/>
        <v>-4307.535126201325</v>
      </c>
      <c r="U68" s="358">
        <f t="shared" si="40"/>
        <v>-0.043909634313978846</v>
      </c>
      <c r="V68" s="358">
        <f t="shared" si="41"/>
        <v>0.515</v>
      </c>
      <c r="W68" s="274">
        <f t="shared" si="42"/>
        <v>-0.08526142585238611</v>
      </c>
      <c r="X68"/>
      <c r="Y68" s="258"/>
      <c r="Z68" s="259"/>
      <c r="AA68" s="160"/>
      <c r="AB68"/>
      <c r="AC68"/>
      <c r="AD68"/>
      <c r="AE68"/>
      <c r="AF68" s="36"/>
      <c r="AG68" s="36"/>
      <c r="AH68" s="36"/>
      <c r="AI68" s="36"/>
      <c r="AP68"/>
      <c r="AQ68"/>
      <c r="AR68"/>
      <c r="AS68"/>
      <c r="AT68"/>
      <c r="AU68"/>
      <c r="AV68"/>
    </row>
    <row r="69" spans="1:48" ht="12.75" hidden="1">
      <c r="A69" s="260"/>
      <c r="B69" s="261">
        <v>300</v>
      </c>
      <c r="C69" s="262">
        <f t="shared" si="23"/>
        <v>17.64</v>
      </c>
      <c r="D69" s="263">
        <f t="shared" si="24"/>
        <v>5292</v>
      </c>
      <c r="E69" s="264">
        <f t="shared" si="25"/>
        <v>0.4405</v>
      </c>
      <c r="F69" s="262">
        <f t="shared" si="26"/>
        <v>132.15</v>
      </c>
      <c r="G69" s="265">
        <f t="shared" si="27"/>
        <v>0.007197547345755411</v>
      </c>
      <c r="H69" s="265">
        <f t="shared" si="28"/>
        <v>0.9511558817415776</v>
      </c>
      <c r="I69" s="266">
        <f t="shared" si="29"/>
        <v>1.8488991221758526</v>
      </c>
      <c r="J69" s="267">
        <f t="shared" si="30"/>
        <v>7.22</v>
      </c>
      <c r="K69" s="262">
        <f t="shared" si="31"/>
        <v>2.2378797882013406</v>
      </c>
      <c r="L69" s="162">
        <f t="shared" si="32"/>
        <v>-0.12019878094873138</v>
      </c>
      <c r="M69" s="262">
        <f t="shared" si="33"/>
        <v>2.0711345427585695</v>
      </c>
      <c r="N69" s="268">
        <f t="shared" si="34"/>
        <v>-3.077730914482861</v>
      </c>
      <c r="O69" s="268">
        <f t="shared" si="35"/>
        <v>91.63635611641048</v>
      </c>
      <c r="P69" s="269">
        <f t="shared" si="36"/>
        <v>-1034.486008989403</v>
      </c>
      <c r="Q69" s="270">
        <f t="shared" si="37"/>
        <v>-1102.2279382690238</v>
      </c>
      <c r="R69" s="271">
        <f t="shared" si="43"/>
        <v>3.4860120629264353</v>
      </c>
      <c r="S69" s="272">
        <f t="shared" si="38"/>
        <v>0.18327271223282096</v>
      </c>
      <c r="T69" s="162">
        <f t="shared" si="39"/>
        <v>-5644.517377334609</v>
      </c>
      <c r="U69" s="358">
        <f t="shared" si="40"/>
        <v>-0.057538403438681024</v>
      </c>
      <c r="V69" s="358">
        <f t="shared" si="41"/>
        <v>0.515</v>
      </c>
      <c r="W69" s="274">
        <f t="shared" si="42"/>
        <v>-0.11172505522073985</v>
      </c>
      <c r="X69"/>
      <c r="Y69" s="258"/>
      <c r="Z69" s="259"/>
      <c r="AA69" s="160"/>
      <c r="AB69"/>
      <c r="AC69"/>
      <c r="AD69"/>
      <c r="AE69"/>
      <c r="AF69" s="36"/>
      <c r="AG69" s="36"/>
      <c r="AH69" s="36"/>
      <c r="AI69" s="36"/>
      <c r="AP69"/>
      <c r="AQ69"/>
      <c r="AR69"/>
      <c r="AS69"/>
      <c r="AT69"/>
      <c r="AU69"/>
      <c r="AV69"/>
    </row>
    <row r="70" spans="1:48" ht="12.75" hidden="1">
      <c r="A70" s="260"/>
      <c r="B70" s="261">
        <v>400</v>
      </c>
      <c r="C70" s="262">
        <f t="shared" si="23"/>
        <v>17.64</v>
      </c>
      <c r="D70" s="263">
        <f t="shared" si="24"/>
        <v>7056</v>
      </c>
      <c r="E70" s="264">
        <f t="shared" si="25"/>
        <v>0.4405</v>
      </c>
      <c r="F70" s="262">
        <f t="shared" si="26"/>
        <v>176.2</v>
      </c>
      <c r="G70" s="265">
        <f t="shared" si="27"/>
        <v>0.007197547345755411</v>
      </c>
      <c r="H70" s="265">
        <f t="shared" si="28"/>
        <v>1.2682078423221033</v>
      </c>
      <c r="I70" s="266">
        <f t="shared" si="29"/>
        <v>2.4651988295678033</v>
      </c>
      <c r="J70" s="267">
        <f t="shared" si="30"/>
        <v>7.22</v>
      </c>
      <c r="K70" s="262">
        <f t="shared" si="31"/>
        <v>2.2378797882013406</v>
      </c>
      <c r="L70" s="162">
        <f t="shared" si="32"/>
        <v>-0.1064067343622629</v>
      </c>
      <c r="M70" s="262">
        <f t="shared" si="33"/>
        <v>2.727512586575786</v>
      </c>
      <c r="N70" s="268">
        <f t="shared" si="34"/>
        <v>-1.7649748268484275</v>
      </c>
      <c r="O70" s="268">
        <f t="shared" si="35"/>
        <v>91.63635611641048</v>
      </c>
      <c r="P70" s="269">
        <f t="shared" si="36"/>
        <v>-1188.6620523331078</v>
      </c>
      <c r="Q70" s="270">
        <f t="shared" si="37"/>
        <v>-1667.8755535906744</v>
      </c>
      <c r="R70" s="271">
        <f t="shared" si="43"/>
        <v>2.647100525048076</v>
      </c>
      <c r="S70" s="272">
        <f t="shared" si="38"/>
        <v>0.18327271223282096</v>
      </c>
      <c r="T70" s="162">
        <f t="shared" si="39"/>
        <v>-6485.755778105624</v>
      </c>
      <c r="U70" s="358">
        <f t="shared" si="40"/>
        <v>-0.06611371843124998</v>
      </c>
      <c r="V70" s="358">
        <f t="shared" si="41"/>
        <v>0.515</v>
      </c>
      <c r="W70" s="274">
        <f t="shared" si="42"/>
        <v>-0.1283761522936893</v>
      </c>
      <c r="X70"/>
      <c r="Y70" s="258"/>
      <c r="Z70" s="259"/>
      <c r="AA70" s="160"/>
      <c r="AB70"/>
      <c r="AC70"/>
      <c r="AD70"/>
      <c r="AE70"/>
      <c r="AF70" s="36"/>
      <c r="AG70" s="36"/>
      <c r="AH70" s="36"/>
      <c r="AI70" s="36"/>
      <c r="AP70"/>
      <c r="AQ70"/>
      <c r="AR70"/>
      <c r="AS70"/>
      <c r="AT70"/>
      <c r="AU70"/>
      <c r="AV70"/>
    </row>
    <row r="71" spans="1:48" ht="12.75" hidden="1">
      <c r="A71" s="260"/>
      <c r="B71" s="261">
        <v>500</v>
      </c>
      <c r="C71" s="262">
        <f t="shared" si="23"/>
        <v>17.64</v>
      </c>
      <c r="D71" s="263">
        <f t="shared" si="24"/>
        <v>8820</v>
      </c>
      <c r="E71" s="264">
        <f t="shared" si="25"/>
        <v>0.4405</v>
      </c>
      <c r="F71" s="262">
        <f t="shared" si="26"/>
        <v>220.25</v>
      </c>
      <c r="G71" s="265">
        <f t="shared" si="27"/>
        <v>0.007197547345755411</v>
      </c>
      <c r="H71" s="265">
        <f t="shared" si="28"/>
        <v>1.5852598029026292</v>
      </c>
      <c r="I71" s="266">
        <f t="shared" si="29"/>
        <v>3.0814985369597543</v>
      </c>
      <c r="J71" s="267">
        <f t="shared" si="30"/>
        <v>7.22</v>
      </c>
      <c r="K71" s="262">
        <f t="shared" si="31"/>
        <v>2.2378797882013406</v>
      </c>
      <c r="L71" s="162">
        <f t="shared" si="32"/>
        <v>-0.09261468777579443</v>
      </c>
      <c r="M71" s="262">
        <f t="shared" si="33"/>
        <v>3.366890561841849</v>
      </c>
      <c r="N71" s="268">
        <f t="shared" si="34"/>
        <v>-0.48621887631630134</v>
      </c>
      <c r="O71" s="268">
        <f t="shared" si="35"/>
        <v>91.63635611641048</v>
      </c>
      <c r="P71" s="269">
        <f t="shared" si="36"/>
        <v>-1258.47650015746</v>
      </c>
      <c r="Q71" s="270">
        <f t="shared" si="37"/>
        <v>-2179.7796414053337</v>
      </c>
      <c r="R71" s="271">
        <f t="shared" si="43"/>
        <v>2.144411844515171</v>
      </c>
      <c r="S71" s="272">
        <f t="shared" si="38"/>
        <v>0.18327271223282096</v>
      </c>
      <c r="T71" s="162">
        <f t="shared" si="39"/>
        <v>-6866.687816344154</v>
      </c>
      <c r="U71" s="358">
        <f t="shared" si="40"/>
        <v>-0.06999681769973654</v>
      </c>
      <c r="V71" s="358">
        <f t="shared" si="41"/>
        <v>0.515</v>
      </c>
      <c r="W71" s="274">
        <f t="shared" si="42"/>
        <v>-0.13591615087327483</v>
      </c>
      <c r="X71"/>
      <c r="Y71" s="258"/>
      <c r="Z71" s="259"/>
      <c r="AA71" s="160"/>
      <c r="AB71"/>
      <c r="AC71"/>
      <c r="AD71"/>
      <c r="AE71"/>
      <c r="AF71" s="36"/>
      <c r="AG71" s="36"/>
      <c r="AH71" s="36"/>
      <c r="AI71" s="36"/>
      <c r="AP71"/>
      <c r="AQ71"/>
      <c r="AR71"/>
      <c r="AS71"/>
      <c r="AT71"/>
      <c r="AU71"/>
      <c r="AV71"/>
    </row>
    <row r="72" spans="1:48" ht="12.75" hidden="1">
      <c r="A72" s="260"/>
      <c r="B72" s="261">
        <v>600</v>
      </c>
      <c r="C72" s="262">
        <f t="shared" si="23"/>
        <v>17.64</v>
      </c>
      <c r="D72" s="263">
        <f t="shared" si="24"/>
        <v>10584</v>
      </c>
      <c r="E72" s="264">
        <f t="shared" si="25"/>
        <v>0.4405</v>
      </c>
      <c r="F72" s="262">
        <f t="shared" si="26"/>
        <v>264.3</v>
      </c>
      <c r="G72" s="265">
        <f t="shared" si="27"/>
        <v>0.007197547345755411</v>
      </c>
      <c r="H72" s="265">
        <f t="shared" si="28"/>
        <v>1.9023117634831552</v>
      </c>
      <c r="I72" s="266">
        <f t="shared" si="29"/>
        <v>3.6977982443517052</v>
      </c>
      <c r="J72" s="267">
        <f t="shared" si="30"/>
        <v>7.22</v>
      </c>
      <c r="K72" s="262">
        <f t="shared" si="31"/>
        <v>2.2378797882013406</v>
      </c>
      <c r="L72" s="162">
        <f t="shared" si="32"/>
        <v>-0.07882264118932596</v>
      </c>
      <c r="M72" s="262">
        <f t="shared" si="33"/>
        <v>3.9892684685567597</v>
      </c>
      <c r="N72" s="268">
        <f t="shared" si="34"/>
        <v>0.7585369371135195</v>
      </c>
      <c r="O72" s="268">
        <f t="shared" si="35"/>
        <v>91.63635611641048</v>
      </c>
      <c r="P72" s="269">
        <f t="shared" si="36"/>
        <v>-1250.255864821869</v>
      </c>
      <c r="Q72" s="270">
        <f t="shared" si="37"/>
        <v>-2565.84635168003</v>
      </c>
      <c r="R72" s="271">
        <f t="shared" si="43"/>
        <v>1.8098556306520168</v>
      </c>
      <c r="S72" s="272">
        <f t="shared" si="38"/>
        <v>0.18327271223282096</v>
      </c>
      <c r="T72" s="162">
        <f t="shared" si="39"/>
        <v>-6821.833155574209</v>
      </c>
      <c r="U72" s="358">
        <f t="shared" si="40"/>
        <v>-0.06953958364499703</v>
      </c>
      <c r="V72" s="358">
        <f t="shared" si="41"/>
        <v>0.515</v>
      </c>
      <c r="W72" s="274">
        <f t="shared" si="42"/>
        <v>-0.13502831775727578</v>
      </c>
      <c r="X72"/>
      <c r="Y72" s="258"/>
      <c r="Z72" s="259"/>
      <c r="AA72" s="160"/>
      <c r="AB72"/>
      <c r="AC72"/>
      <c r="AD72"/>
      <c r="AE72"/>
      <c r="AF72" s="36"/>
      <c r="AG72" s="36"/>
      <c r="AH72" s="36"/>
      <c r="AI72" s="36"/>
      <c r="AP72"/>
      <c r="AQ72"/>
      <c r="AR72"/>
      <c r="AS72"/>
      <c r="AT72"/>
      <c r="AU72"/>
      <c r="AV72"/>
    </row>
    <row r="73" spans="1:48" ht="12.75" hidden="1">
      <c r="A73" s="260"/>
      <c r="B73" s="261">
        <v>700</v>
      </c>
      <c r="C73" s="262">
        <f t="shared" si="23"/>
        <v>17.64</v>
      </c>
      <c r="D73" s="263">
        <f t="shared" si="24"/>
        <v>12348</v>
      </c>
      <c r="E73" s="264">
        <f t="shared" si="25"/>
        <v>0.4405</v>
      </c>
      <c r="F73" s="262">
        <f t="shared" si="26"/>
        <v>308.35</v>
      </c>
      <c r="G73" s="265">
        <f t="shared" si="27"/>
        <v>0.007197547345755411</v>
      </c>
      <c r="H73" s="265">
        <f t="shared" si="28"/>
        <v>2.219363724063681</v>
      </c>
      <c r="I73" s="266">
        <f t="shared" si="29"/>
        <v>4.314097951743656</v>
      </c>
      <c r="J73" s="267">
        <f t="shared" si="30"/>
        <v>7.22</v>
      </c>
      <c r="K73" s="262">
        <f t="shared" si="31"/>
        <v>2.2378797882013406</v>
      </c>
      <c r="L73" s="162">
        <f t="shared" si="32"/>
        <v>-0.06503059460285748</v>
      </c>
      <c r="M73" s="262">
        <f t="shared" si="33"/>
        <v>4.594646306720516</v>
      </c>
      <c r="N73" s="268">
        <f t="shared" si="34"/>
        <v>1.9692926134410316</v>
      </c>
      <c r="O73" s="268">
        <f t="shared" si="35"/>
        <v>91.63635611641048</v>
      </c>
      <c r="P73" s="269">
        <f t="shared" si="36"/>
        <v>-1170.1584465358756</v>
      </c>
      <c r="Q73" s="270">
        <f t="shared" si="37"/>
        <v>-2765.892130549717</v>
      </c>
      <c r="R73" s="271">
        <f t="shared" si="43"/>
        <v>1.5713940786779215</v>
      </c>
      <c r="S73" s="272">
        <f t="shared" si="38"/>
        <v>0.18327271223282096</v>
      </c>
      <c r="T73" s="162">
        <f t="shared" si="39"/>
        <v>-6384.793635014043</v>
      </c>
      <c r="U73" s="358">
        <f t="shared" si="40"/>
        <v>-0.0650845426606936</v>
      </c>
      <c r="V73" s="358">
        <f t="shared" si="41"/>
        <v>0.515</v>
      </c>
      <c r="W73" s="274">
        <f t="shared" si="42"/>
        <v>-0.12637775273921087</v>
      </c>
      <c r="X73"/>
      <c r="Y73" s="258"/>
      <c r="Z73" s="259"/>
      <c r="AA73" s="160"/>
      <c r="AB73"/>
      <c r="AC73"/>
      <c r="AD73"/>
      <c r="AE73"/>
      <c r="AF73" s="36"/>
      <c r="AG73" s="36"/>
      <c r="AH73" s="36"/>
      <c r="AI73" s="36"/>
      <c r="AP73"/>
      <c r="AQ73"/>
      <c r="AR73"/>
      <c r="AS73"/>
      <c r="AT73"/>
      <c r="AU73"/>
      <c r="AV73"/>
    </row>
    <row r="74" spans="2:48" ht="12.75" hidden="1">
      <c r="B74" s="275">
        <v>800</v>
      </c>
      <c r="C74" s="262">
        <f t="shared" si="23"/>
        <v>17.64</v>
      </c>
      <c r="D74" s="263">
        <f t="shared" si="24"/>
        <v>14112</v>
      </c>
      <c r="E74" s="264">
        <f t="shared" si="25"/>
        <v>0.4405</v>
      </c>
      <c r="F74" s="262">
        <f t="shared" si="26"/>
        <v>352.4</v>
      </c>
      <c r="G74" s="265">
        <f t="shared" si="27"/>
        <v>0.007197547345755411</v>
      </c>
      <c r="H74" s="265">
        <f t="shared" si="28"/>
        <v>2.5364156846442065</v>
      </c>
      <c r="I74" s="276">
        <f t="shared" si="29"/>
        <v>4.930397659135607</v>
      </c>
      <c r="J74" s="267">
        <f t="shared" si="30"/>
        <v>7.22</v>
      </c>
      <c r="K74" s="262">
        <f t="shared" si="31"/>
        <v>2.2378797882013406</v>
      </c>
      <c r="L74" s="162">
        <f t="shared" si="32"/>
        <v>-0.05123854801638902</v>
      </c>
      <c r="M74" s="160">
        <f t="shared" si="33"/>
        <v>5.183024076333118</v>
      </c>
      <c r="N74" s="268">
        <f t="shared" si="34"/>
        <v>3.1460481526662365</v>
      </c>
      <c r="O74" s="268">
        <f t="shared" si="35"/>
        <v>91.63635611641048</v>
      </c>
      <c r="P74" s="164">
        <f t="shared" si="36"/>
        <v>-1024.1743333591476</v>
      </c>
      <c r="Q74" s="277">
        <f t="shared" si="37"/>
        <v>-2730.835850710461</v>
      </c>
      <c r="R74" s="274">
        <f t="shared" si="43"/>
        <v>1.3930091571382397</v>
      </c>
      <c r="S74" s="272">
        <f t="shared" si="38"/>
        <v>0.18327271223282096</v>
      </c>
      <c r="T74" s="162">
        <f t="shared" si="39"/>
        <v>-5588.253269576134</v>
      </c>
      <c r="U74" s="358">
        <f t="shared" si="40"/>
        <v>-0.05696486513329392</v>
      </c>
      <c r="V74" s="358">
        <f t="shared" si="41"/>
        <v>0.515</v>
      </c>
      <c r="W74" s="274">
        <f t="shared" si="42"/>
        <v>-0.1106113886083377</v>
      </c>
      <c r="X74" s="278">
        <f>IF(Q74&gt;D74,"Dépassement de la puisance disponible","")</f>
      </c>
      <c r="Y74" s="258"/>
      <c r="Z74" s="259"/>
      <c r="AA74" s="160"/>
      <c r="AB74"/>
      <c r="AC74"/>
      <c r="AD74"/>
      <c r="AE74"/>
      <c r="AF74" s="36"/>
      <c r="AG74" s="36"/>
      <c r="AH74" s="36"/>
      <c r="AI74" s="36"/>
      <c r="AP74"/>
      <c r="AQ74"/>
      <c r="AR74"/>
      <c r="AS74"/>
      <c r="AT74"/>
      <c r="AU74"/>
      <c r="AV74"/>
    </row>
    <row r="75" spans="2:48" ht="12.75" hidden="1">
      <c r="B75" s="275">
        <v>900</v>
      </c>
      <c r="C75" s="262">
        <f t="shared" si="23"/>
        <v>17.64</v>
      </c>
      <c r="D75" s="263">
        <f t="shared" si="24"/>
        <v>15876</v>
      </c>
      <c r="E75" s="264">
        <f t="shared" si="25"/>
        <v>0.4405</v>
      </c>
      <c r="F75" s="262">
        <f t="shared" si="26"/>
        <v>396.45</v>
      </c>
      <c r="G75" s="265">
        <f t="shared" si="27"/>
        <v>0.007197547345755411</v>
      </c>
      <c r="H75" s="265">
        <f t="shared" si="28"/>
        <v>2.8534676452247325</v>
      </c>
      <c r="I75" s="276">
        <f t="shared" si="29"/>
        <v>5.546697366527558</v>
      </c>
      <c r="J75" s="267">
        <f t="shared" si="30"/>
        <v>7.22</v>
      </c>
      <c r="K75" s="262">
        <f t="shared" si="31"/>
        <v>2.2378797882013406</v>
      </c>
      <c r="L75" s="162">
        <f t="shared" si="32"/>
        <v>-0.037446501429920544</v>
      </c>
      <c r="M75" s="160">
        <f t="shared" si="33"/>
        <v>5.754401777394568</v>
      </c>
      <c r="N75" s="268">
        <f t="shared" si="34"/>
        <v>4.288803554789136</v>
      </c>
      <c r="O75" s="268">
        <f t="shared" si="35"/>
        <v>91.63635611641048</v>
      </c>
      <c r="P75" s="164">
        <f t="shared" si="36"/>
        <v>-818.1254012014823</v>
      </c>
      <c r="Q75" s="277">
        <f t="shared" si="37"/>
        <v>-2421.9130085321394</v>
      </c>
      <c r="R75" s="274">
        <f t="shared" si="43"/>
        <v>1.2546916741828573</v>
      </c>
      <c r="S75" s="272">
        <f t="shared" si="38"/>
        <v>0.18327271223282096</v>
      </c>
      <c r="T75" s="162">
        <f t="shared" si="39"/>
        <v>-4463.978249867196</v>
      </c>
      <c r="U75" s="358">
        <f t="shared" si="40"/>
        <v>-0.045504365442071315</v>
      </c>
      <c r="V75" s="358">
        <f t="shared" si="41"/>
        <v>0.515</v>
      </c>
      <c r="W75" s="274">
        <f t="shared" si="42"/>
        <v>-0.08835799114965304</v>
      </c>
      <c r="X75" s="278">
        <f>IF(Q75&gt;D75,"Dépassement de la puisance disponible","")</f>
      </c>
      <c r="Y75" s="258"/>
      <c r="Z75" s="259"/>
      <c r="AA75" s="160"/>
      <c r="AB75"/>
      <c r="AC75"/>
      <c r="AD75"/>
      <c r="AE75"/>
      <c r="AF75" s="36"/>
      <c r="AG75" s="36"/>
      <c r="AH75" s="36"/>
      <c r="AI75" s="36"/>
      <c r="AP75"/>
      <c r="AQ75"/>
      <c r="AR75"/>
      <c r="AS75"/>
      <c r="AT75"/>
      <c r="AU75"/>
      <c r="AV75"/>
    </row>
    <row r="76" spans="2:48" ht="12.75" hidden="1">
      <c r="B76" s="275">
        <v>1000</v>
      </c>
      <c r="C76" s="262">
        <f t="shared" si="23"/>
        <v>17.64</v>
      </c>
      <c r="D76" s="237" t="s">
        <v>203</v>
      </c>
      <c r="E76" s="264">
        <f t="shared" si="25"/>
        <v>0.4405</v>
      </c>
      <c r="F76" s="262">
        <f t="shared" si="26"/>
        <v>440.5</v>
      </c>
      <c r="G76" s="265">
        <f t="shared" si="27"/>
        <v>0.007197547345755411</v>
      </c>
      <c r="H76" s="265">
        <f t="shared" si="28"/>
        <v>3.1705196058052585</v>
      </c>
      <c r="I76" s="276">
        <f t="shared" si="29"/>
        <v>6.162997073919509</v>
      </c>
      <c r="J76" s="267">
        <f t="shared" si="30"/>
        <v>7.22</v>
      </c>
      <c r="K76" s="262">
        <f t="shared" si="31"/>
        <v>2.2378797882013406</v>
      </c>
      <c r="L76" s="162">
        <f t="shared" si="32"/>
        <v>-0.023654454843452067</v>
      </c>
      <c r="M76" s="160">
        <f t="shared" si="33"/>
        <v>6.308779409904865</v>
      </c>
      <c r="N76" s="268">
        <f t="shared" si="34"/>
        <v>5.39755881980973</v>
      </c>
      <c r="O76" s="268">
        <f t="shared" si="35"/>
        <v>91.63635611641048</v>
      </c>
      <c r="P76" s="164">
        <f t="shared" si="36"/>
        <v>-557.665313822806</v>
      </c>
      <c r="Q76" s="277">
        <f t="shared" si="37"/>
        <v>-1809.911987890643</v>
      </c>
      <c r="R76" s="274">
        <f t="shared" si="43"/>
        <v>1.1444369078215837</v>
      </c>
      <c r="S76" s="272">
        <f t="shared" si="38"/>
        <v>0.18327271223282096</v>
      </c>
      <c r="T76" s="162">
        <f t="shared" si="39"/>
        <v>-3042.8169421881767</v>
      </c>
      <c r="U76" s="358">
        <f t="shared" si="40"/>
        <v>-0.031017501959104757</v>
      </c>
      <c r="V76" s="358">
        <f t="shared" si="41"/>
        <v>0.515</v>
      </c>
      <c r="W76" s="274">
        <f t="shared" si="42"/>
        <v>-0.06022815914389273</v>
      </c>
      <c r="X76" s="278" t="e">
        <f>IF(Q76&gt;#REF!,"Dépassement de la puisance disponible","")</f>
        <v>#REF!</v>
      </c>
      <c r="Y76" s="258"/>
      <c r="Z76" s="259"/>
      <c r="AA76" s="160"/>
      <c r="AB76"/>
      <c r="AC76"/>
      <c r="AD76"/>
      <c r="AE76"/>
      <c r="AF76" s="36"/>
      <c r="AG76" s="36"/>
      <c r="AH76" s="36"/>
      <c r="AI76" s="36"/>
      <c r="AP76"/>
      <c r="AQ76"/>
      <c r="AR76"/>
      <c r="AS76"/>
      <c r="AT76"/>
      <c r="AU76"/>
      <c r="AV76"/>
    </row>
    <row r="77" spans="1:48" ht="12.75">
      <c r="A77" s="279"/>
      <c r="B77" s="292">
        <v>1100</v>
      </c>
      <c r="C77" s="262">
        <f t="shared" si="23"/>
        <v>17.64</v>
      </c>
      <c r="D77" s="389">
        <f aca="true" t="shared" si="44" ref="D77:D96">D107*C107</f>
        <v>20053.02</v>
      </c>
      <c r="E77" s="264">
        <f t="shared" si="25"/>
        <v>0.4405</v>
      </c>
      <c r="F77" s="262">
        <f t="shared" si="26"/>
        <v>484.55</v>
      </c>
      <c r="G77" s="265">
        <f t="shared" si="27"/>
        <v>0.007197547345755411</v>
      </c>
      <c r="H77" s="265">
        <f t="shared" si="28"/>
        <v>3.4875715663857845</v>
      </c>
      <c r="I77" s="276">
        <f t="shared" si="29"/>
        <v>6.7792967813114595</v>
      </c>
      <c r="J77" s="267">
        <f t="shared" si="30"/>
        <v>7.22</v>
      </c>
      <c r="K77" s="262">
        <f t="shared" si="31"/>
        <v>2.2378797882013406</v>
      </c>
      <c r="L77" s="162">
        <f t="shared" si="32"/>
        <v>-0.009862408256983595</v>
      </c>
      <c r="M77" s="160">
        <f t="shared" si="33"/>
        <v>6.846156973864008</v>
      </c>
      <c r="N77" s="268">
        <f t="shared" si="34"/>
        <v>6.472313947728016</v>
      </c>
      <c r="O77" s="268">
        <f t="shared" si="35"/>
        <v>91.63635611641048</v>
      </c>
      <c r="P77" s="164">
        <f t="shared" si="36"/>
        <v>-248.27952283317472</v>
      </c>
      <c r="Q77" s="390">
        <f t="shared" si="37"/>
        <v>-874.432390719601</v>
      </c>
      <c r="R77" s="391">
        <f t="shared" si="43"/>
        <v>1.0546062597692663</v>
      </c>
      <c r="S77" s="272">
        <f t="shared" si="38"/>
        <v>0.18327271223282096</v>
      </c>
      <c r="T77" s="162">
        <f t="shared" si="39"/>
        <v>-1354.6998885342637</v>
      </c>
      <c r="U77" s="358">
        <f t="shared" si="40"/>
        <v>-0.013809377049278936</v>
      </c>
      <c r="V77" s="358">
        <f t="shared" si="41"/>
        <v>0.515</v>
      </c>
      <c r="W77" s="392">
        <f aca="true" t="shared" si="45" ref="W77:W96">IF(U77/V77&lt;1,U77/V77,"Cavitation ?")</f>
        <v>-0.026814324367531915</v>
      </c>
      <c r="X77" s="393">
        <f aca="true" t="shared" si="46" ref="X77:X101">IF(Q77&gt;D77,"P &gt; puissance disponible","")</f>
      </c>
      <c r="Y77" s="394">
        <f aca="true" t="shared" si="47" ref="Y77:Y96">Q77/(4660)</f>
        <v>-0.18764643577673842</v>
      </c>
      <c r="Z77" s="395">
        <f aca="true" t="shared" si="48" ref="Z77:Z96">Y77/J77</f>
        <v>-0.025989811049409756</v>
      </c>
      <c r="AA77" s="396"/>
      <c r="AB77"/>
      <c r="AC77"/>
      <c r="AD77"/>
      <c r="AE77"/>
      <c r="AF77" s="36"/>
      <c r="AG77" s="36"/>
      <c r="AH77" s="36"/>
      <c r="AI77" s="36"/>
      <c r="AP77"/>
      <c r="AQ77"/>
      <c r="AR77"/>
      <c r="AS77"/>
      <c r="AT77"/>
      <c r="AU77"/>
      <c r="AV77"/>
    </row>
    <row r="78" spans="1:48" ht="12.75">
      <c r="A78" s="296" t="s">
        <v>190</v>
      </c>
      <c r="B78" s="292">
        <v>1200</v>
      </c>
      <c r="C78" s="262">
        <f t="shared" si="23"/>
        <v>17.64</v>
      </c>
      <c r="D78" s="389">
        <f t="shared" si="44"/>
        <v>22560</v>
      </c>
      <c r="E78" s="264">
        <f t="shared" si="25"/>
        <v>0.4405</v>
      </c>
      <c r="F78" s="262">
        <f t="shared" si="26"/>
        <v>528.6</v>
      </c>
      <c r="G78" s="265">
        <f t="shared" si="27"/>
        <v>0.007197547345755411</v>
      </c>
      <c r="H78" s="265">
        <f t="shared" si="28"/>
        <v>3.8046235269663105</v>
      </c>
      <c r="I78" s="276">
        <f t="shared" si="29"/>
        <v>7.3955964887034105</v>
      </c>
      <c r="J78" s="267">
        <f t="shared" si="30"/>
        <v>7.22</v>
      </c>
      <c r="K78" s="262">
        <f t="shared" si="31"/>
        <v>2.2378797882013406</v>
      </c>
      <c r="L78" s="162">
        <f t="shared" si="32"/>
        <v>0.003929638329484879</v>
      </c>
      <c r="M78" s="160">
        <f t="shared" si="33"/>
        <v>7.366534469271998</v>
      </c>
      <c r="N78" s="268">
        <f t="shared" si="34"/>
        <v>7.513068938543996</v>
      </c>
      <c r="O78" s="268">
        <f t="shared" si="35"/>
        <v>91.63635611641048</v>
      </c>
      <c r="P78" s="164">
        <f t="shared" si="36"/>
        <v>104.71473230722812</v>
      </c>
      <c r="Q78" s="390">
        <f t="shared" si="37"/>
        <v>396.83456571840776</v>
      </c>
      <c r="R78" s="391">
        <f t="shared" si="43"/>
        <v>0.9801080861179382</v>
      </c>
      <c r="S78" s="272">
        <f t="shared" si="38"/>
        <v>0.18327271223282096</v>
      </c>
      <c r="T78" s="162">
        <f t="shared" si="39"/>
        <v>571.3601934051344</v>
      </c>
      <c r="U78" s="358">
        <f t="shared" si="40"/>
        <v>0.005824262929715947</v>
      </c>
      <c r="V78" s="358">
        <f t="shared" si="41"/>
        <v>0.515</v>
      </c>
      <c r="W78" s="392">
        <f t="shared" si="45"/>
        <v>0.01130924840721543</v>
      </c>
      <c r="X78" s="393">
        <f t="shared" si="46"/>
      </c>
      <c r="Y78" s="397">
        <f t="shared" si="47"/>
        <v>0.08515763212841368</v>
      </c>
      <c r="Z78" s="271">
        <f t="shared" si="48"/>
        <v>0.011794685890362006</v>
      </c>
      <c r="AA78" s="396"/>
      <c r="AB78"/>
      <c r="AC78"/>
      <c r="AD78"/>
      <c r="AE78"/>
      <c r="AF78" s="36"/>
      <c r="AG78" s="36"/>
      <c r="AH78" s="36"/>
      <c r="AI78" s="36"/>
      <c r="AP78"/>
      <c r="AQ78"/>
      <c r="AR78"/>
      <c r="AS78"/>
      <c r="AT78"/>
      <c r="AU78"/>
      <c r="AV78"/>
    </row>
    <row r="79" spans="1:48" ht="12.75">
      <c r="A79" s="296" t="s">
        <v>208</v>
      </c>
      <c r="B79" s="292">
        <v>1300</v>
      </c>
      <c r="C79" s="262">
        <f t="shared" si="23"/>
        <v>17.64</v>
      </c>
      <c r="D79" s="389">
        <f t="shared" si="44"/>
        <v>25066.039999999997</v>
      </c>
      <c r="E79" s="264">
        <f t="shared" si="25"/>
        <v>0.4405</v>
      </c>
      <c r="F79" s="262">
        <f t="shared" si="26"/>
        <v>572.65</v>
      </c>
      <c r="G79" s="265">
        <f t="shared" si="27"/>
        <v>0.007197547345755411</v>
      </c>
      <c r="H79" s="265">
        <f t="shared" si="28"/>
        <v>4.1216754875468355</v>
      </c>
      <c r="I79" s="276">
        <f t="shared" si="29"/>
        <v>8.01189619609536</v>
      </c>
      <c r="J79" s="267">
        <f t="shared" si="30"/>
        <v>7.22</v>
      </c>
      <c r="K79" s="262">
        <f t="shared" si="31"/>
        <v>2.2378797882013406</v>
      </c>
      <c r="L79" s="162">
        <f t="shared" si="32"/>
        <v>0.017721684915953332</v>
      </c>
      <c r="M79" s="160">
        <f t="shared" si="33"/>
        <v>7.869911896128833</v>
      </c>
      <c r="N79" s="268">
        <f t="shared" si="34"/>
        <v>8.519823792257665</v>
      </c>
      <c r="O79" s="268">
        <f t="shared" si="35"/>
        <v>91.63635611641048</v>
      </c>
      <c r="P79" s="164">
        <f t="shared" si="36"/>
        <v>496.16842428808695</v>
      </c>
      <c r="Q79" s="390">
        <f t="shared" si="37"/>
        <v>2008.803584841099</v>
      </c>
      <c r="R79" s="391">
        <f t="shared" si="43"/>
        <v>0.9174181484231709</v>
      </c>
      <c r="S79" s="272">
        <f t="shared" si="38"/>
        <v>0.18327271223282096</v>
      </c>
      <c r="T79" s="162">
        <f t="shared" si="39"/>
        <v>2707.2684102463554</v>
      </c>
      <c r="U79" s="358">
        <f t="shared" si="40"/>
        <v>0.027597027627383846</v>
      </c>
      <c r="V79" s="358">
        <f t="shared" si="41"/>
        <v>0.515</v>
      </c>
      <c r="W79" s="392">
        <f t="shared" si="45"/>
        <v>0.053586461412395814</v>
      </c>
      <c r="X79" s="393">
        <f t="shared" si="46"/>
      </c>
      <c r="Y79" s="397">
        <f t="shared" si="47"/>
        <v>0.43107373065259635</v>
      </c>
      <c r="Z79" s="271">
        <f t="shared" si="48"/>
        <v>0.05970550286047041</v>
      </c>
      <c r="AA79" s="396"/>
      <c r="AB79"/>
      <c r="AC79"/>
      <c r="AD79"/>
      <c r="AE79"/>
      <c r="AF79" s="36"/>
      <c r="AG79" s="36"/>
      <c r="AH79" s="36"/>
      <c r="AI79" s="36"/>
      <c r="AP79"/>
      <c r="AQ79"/>
      <c r="AR79"/>
      <c r="AS79"/>
      <c r="AT79"/>
      <c r="AU79"/>
      <c r="AV79"/>
    </row>
    <row r="80" spans="1:48" ht="12.75">
      <c r="A80" s="296" t="s">
        <v>209</v>
      </c>
      <c r="B80" s="292">
        <v>1400</v>
      </c>
      <c r="C80" s="262">
        <f t="shared" si="23"/>
        <v>17.64</v>
      </c>
      <c r="D80" s="389">
        <f t="shared" si="44"/>
        <v>27573.019999999997</v>
      </c>
      <c r="E80" s="264">
        <f t="shared" si="25"/>
        <v>0.4405</v>
      </c>
      <c r="F80" s="262">
        <f t="shared" si="26"/>
        <v>616.7</v>
      </c>
      <c r="G80" s="265">
        <f t="shared" si="27"/>
        <v>0.007197547345755411</v>
      </c>
      <c r="H80" s="265">
        <f t="shared" si="28"/>
        <v>4.438727448127362</v>
      </c>
      <c r="I80" s="276">
        <f t="shared" si="29"/>
        <v>8.628195903487311</v>
      </c>
      <c r="J80" s="267">
        <f t="shared" si="30"/>
        <v>7.22</v>
      </c>
      <c r="K80" s="262">
        <f t="shared" si="31"/>
        <v>2.2378797882013406</v>
      </c>
      <c r="L80" s="162">
        <f t="shared" si="32"/>
        <v>0.0315137315024218</v>
      </c>
      <c r="M80" s="166">
        <f t="shared" si="33"/>
        <v>8.356289254434518</v>
      </c>
      <c r="N80" s="268">
        <f t="shared" si="34"/>
        <v>9.492578508869038</v>
      </c>
      <c r="O80" s="268">
        <f t="shared" si="35"/>
        <v>91.63635611641048</v>
      </c>
      <c r="P80" s="164">
        <f t="shared" si="36"/>
        <v>921.1007379489662</v>
      </c>
      <c r="Q80" s="390">
        <f t="shared" si="37"/>
        <v>3959.670760036293</v>
      </c>
      <c r="R80" s="391">
        <f t="shared" si="43"/>
        <v>0.8640198753493948</v>
      </c>
      <c r="S80" s="272">
        <f t="shared" si="38"/>
        <v>0.18327271223282096</v>
      </c>
      <c r="T80" s="162">
        <f t="shared" si="39"/>
        <v>5025.847692911553</v>
      </c>
      <c r="U80" s="358">
        <f t="shared" si="40"/>
        <v>0.05123188270042358</v>
      </c>
      <c r="V80" s="358">
        <f t="shared" si="41"/>
        <v>0.515</v>
      </c>
      <c r="W80" s="392">
        <f t="shared" si="45"/>
        <v>0.09947938388431762</v>
      </c>
      <c r="X80" s="393">
        <f t="shared" si="46"/>
      </c>
      <c r="Y80" s="397">
        <f t="shared" si="47"/>
        <v>0.849714755372595</v>
      </c>
      <c r="Z80" s="271">
        <f t="shared" si="48"/>
        <v>0.1176890242898331</v>
      </c>
      <c r="AA80" s="396"/>
      <c r="AB80"/>
      <c r="AC80"/>
      <c r="AD80"/>
      <c r="AE80"/>
      <c r="AF80" s="36"/>
      <c r="AG80" s="36"/>
      <c r="AH80" s="36"/>
      <c r="AI80" s="36"/>
      <c r="AP80"/>
      <c r="AQ80"/>
      <c r="AR80"/>
      <c r="AS80"/>
      <c r="AT80"/>
      <c r="AU80"/>
      <c r="AV80"/>
    </row>
    <row r="81" spans="1:48" ht="12.75">
      <c r="A81" s="296" t="s">
        <v>210</v>
      </c>
      <c r="B81" s="292">
        <v>1500</v>
      </c>
      <c r="C81" s="262">
        <f t="shared" si="23"/>
        <v>17.64</v>
      </c>
      <c r="D81" s="389">
        <f t="shared" si="44"/>
        <v>30080</v>
      </c>
      <c r="E81" s="264">
        <f t="shared" si="25"/>
        <v>0.4405</v>
      </c>
      <c r="F81" s="262">
        <f t="shared" si="26"/>
        <v>660.75</v>
      </c>
      <c r="G81" s="265">
        <f t="shared" si="27"/>
        <v>0.007197547345755411</v>
      </c>
      <c r="H81" s="265">
        <f t="shared" si="28"/>
        <v>4.7557794087078875</v>
      </c>
      <c r="I81" s="276">
        <f t="shared" si="29"/>
        <v>9.244495610879262</v>
      </c>
      <c r="J81" s="267">
        <f t="shared" si="30"/>
        <v>7.22</v>
      </c>
      <c r="K81" s="262">
        <f t="shared" si="31"/>
        <v>2.2378797882013406</v>
      </c>
      <c r="L81" s="162">
        <f t="shared" si="32"/>
        <v>0.045305778088890275</v>
      </c>
      <c r="M81" s="166">
        <f t="shared" si="33"/>
        <v>8.825666544189048</v>
      </c>
      <c r="N81" s="268">
        <f t="shared" si="34"/>
        <v>10.431333088378096</v>
      </c>
      <c r="O81" s="268">
        <f t="shared" si="35"/>
        <v>91.63635611641048</v>
      </c>
      <c r="P81" s="164">
        <f t="shared" si="36"/>
        <v>1374.699070279287</v>
      </c>
      <c r="Q81" s="390">
        <f t="shared" si="37"/>
        <v>6241.56697723206</v>
      </c>
      <c r="R81" s="391">
        <f t="shared" si="43"/>
        <v>0.8180685236463819</v>
      </c>
      <c r="S81" s="272">
        <f t="shared" si="38"/>
        <v>0.18327271223282096</v>
      </c>
      <c r="T81" s="162">
        <f t="shared" si="39"/>
        <v>7500.838796628571</v>
      </c>
      <c r="U81" s="358">
        <f t="shared" si="40"/>
        <v>0.07646114981272753</v>
      </c>
      <c r="V81" s="358">
        <f t="shared" si="41"/>
        <v>0.515</v>
      </c>
      <c r="W81" s="392">
        <f t="shared" si="45"/>
        <v>0.1484682520635486</v>
      </c>
      <c r="X81" s="393">
        <f t="shared" si="46"/>
      </c>
      <c r="Y81" s="397">
        <f t="shared" si="47"/>
        <v>1.339392055200013</v>
      </c>
      <c r="Z81" s="271">
        <f t="shared" si="48"/>
        <v>0.18551136498615137</v>
      </c>
      <c r="AA81" s="396"/>
      <c r="AB81"/>
      <c r="AC81"/>
      <c r="AD81"/>
      <c r="AE81"/>
      <c r="AF81" s="36"/>
      <c r="AG81" s="36"/>
      <c r="AH81" s="36"/>
      <c r="AI81" s="36"/>
      <c r="AP81"/>
      <c r="AQ81"/>
      <c r="AR81"/>
      <c r="AS81"/>
      <c r="AT81"/>
      <c r="AU81"/>
      <c r="AV81"/>
    </row>
    <row r="82" spans="1:48" ht="12.75">
      <c r="A82" s="296"/>
      <c r="B82" s="292">
        <v>1600</v>
      </c>
      <c r="C82" s="262">
        <f t="shared" si="23"/>
        <v>17.64</v>
      </c>
      <c r="D82" s="389">
        <f t="shared" si="44"/>
        <v>32586.039999999997</v>
      </c>
      <c r="E82" s="264">
        <f t="shared" si="25"/>
        <v>0.4405</v>
      </c>
      <c r="F82" s="262">
        <f t="shared" si="26"/>
        <v>704.8</v>
      </c>
      <c r="G82" s="265">
        <f t="shared" si="27"/>
        <v>0.007197547345755411</v>
      </c>
      <c r="H82" s="265">
        <f t="shared" si="28"/>
        <v>5.072831369288413</v>
      </c>
      <c r="I82" s="276">
        <f t="shared" si="29"/>
        <v>9.860795318271213</v>
      </c>
      <c r="J82" s="267">
        <f t="shared" si="30"/>
        <v>7.22</v>
      </c>
      <c r="K82" s="262">
        <f t="shared" si="31"/>
        <v>2.2378797882013406</v>
      </c>
      <c r="L82" s="162">
        <f t="shared" si="32"/>
        <v>0.059097824675358755</v>
      </c>
      <c r="M82" s="160">
        <f t="shared" si="33"/>
        <v>9.278043765392422</v>
      </c>
      <c r="N82" s="268">
        <f t="shared" si="34"/>
        <v>11.336087530784845</v>
      </c>
      <c r="O82" s="268">
        <f t="shared" si="35"/>
        <v>91.63635611641048</v>
      </c>
      <c r="P82" s="164">
        <f t="shared" si="36"/>
        <v>1852.3190304183504</v>
      </c>
      <c r="Q82" s="390">
        <f t="shared" si="37"/>
        <v>8841.189250747555</v>
      </c>
      <c r="R82" s="391">
        <f t="shared" si="43"/>
        <v>0.7781812828832485</v>
      </c>
      <c r="S82" s="272">
        <f t="shared" si="38"/>
        <v>0.18327271223282096</v>
      </c>
      <c r="T82" s="162">
        <f t="shared" si="39"/>
        <v>10106.900300931064</v>
      </c>
      <c r="U82" s="358">
        <f t="shared" si="40"/>
        <v>0.10302650663538292</v>
      </c>
      <c r="V82" s="358">
        <f t="shared" si="41"/>
        <v>0.515</v>
      </c>
      <c r="W82" s="392">
        <f t="shared" si="45"/>
        <v>0.20005146919491829</v>
      </c>
      <c r="X82" s="393">
        <f t="shared" si="46"/>
      </c>
      <c r="Y82" s="397">
        <f t="shared" si="47"/>
        <v>1.897250912177587</v>
      </c>
      <c r="Z82" s="271">
        <f t="shared" si="48"/>
        <v>0.2627771346506353</v>
      </c>
      <c r="AA82" s="396"/>
      <c r="AB82"/>
      <c r="AC82"/>
      <c r="AD82"/>
      <c r="AE82"/>
      <c r="AF82" s="36"/>
      <c r="AG82" s="36"/>
      <c r="AH82" s="36"/>
      <c r="AI82" s="36"/>
      <c r="AP82"/>
      <c r="AQ82"/>
      <c r="AR82"/>
      <c r="AS82"/>
      <c r="AT82"/>
      <c r="AU82"/>
      <c r="AV82"/>
    </row>
    <row r="83" spans="1:48" ht="12.75">
      <c r="A83" s="298"/>
      <c r="B83" s="315">
        <v>1700</v>
      </c>
      <c r="C83" s="316">
        <f t="shared" si="23"/>
        <v>17.64</v>
      </c>
      <c r="D83" s="389">
        <f t="shared" si="44"/>
        <v>35093.02</v>
      </c>
      <c r="E83" s="318">
        <f t="shared" si="25"/>
        <v>0.4405</v>
      </c>
      <c r="F83" s="316">
        <f t="shared" si="26"/>
        <v>748.85</v>
      </c>
      <c r="G83" s="319">
        <f t="shared" si="27"/>
        <v>0.007197547345755411</v>
      </c>
      <c r="H83" s="319">
        <f t="shared" si="28"/>
        <v>5.3898833298689395</v>
      </c>
      <c r="I83" s="320">
        <f t="shared" si="29"/>
        <v>10.477095025663164</v>
      </c>
      <c r="J83" s="398">
        <f t="shared" si="30"/>
        <v>7.22</v>
      </c>
      <c r="K83" s="316">
        <f t="shared" si="31"/>
        <v>2.2378797882013406</v>
      </c>
      <c r="L83" s="162">
        <f t="shared" si="32"/>
        <v>0.07288987126182722</v>
      </c>
      <c r="M83" s="322">
        <f t="shared" si="33"/>
        <v>9.713420918044646</v>
      </c>
      <c r="N83" s="323">
        <f t="shared" si="34"/>
        <v>12.206841836089293</v>
      </c>
      <c r="O83" s="323">
        <f t="shared" si="35"/>
        <v>91.63635611641048</v>
      </c>
      <c r="P83" s="324">
        <f t="shared" si="36"/>
        <v>2349.484439655332</v>
      </c>
      <c r="Q83" s="390">
        <f t="shared" si="37"/>
        <v>11740.409992424244</v>
      </c>
      <c r="R83" s="399">
        <f t="shared" si="43"/>
        <v>0.7433014651498719</v>
      </c>
      <c r="S83" s="326">
        <f t="shared" si="38"/>
        <v>0.18327271223282096</v>
      </c>
      <c r="T83" s="321">
        <f t="shared" si="39"/>
        <v>12819.608609658477</v>
      </c>
      <c r="U83" s="400">
        <f t="shared" si="40"/>
        <v>0.13067898684667154</v>
      </c>
      <c r="V83" s="400">
        <f t="shared" si="41"/>
        <v>0.515</v>
      </c>
      <c r="W83" s="392">
        <f t="shared" si="45"/>
        <v>0.2537456055275175</v>
      </c>
      <c r="X83" s="393">
        <f t="shared" si="46"/>
      </c>
      <c r="Y83" s="294">
        <f t="shared" si="47"/>
        <v>2.519401285927949</v>
      </c>
      <c r="Z83" s="325">
        <f t="shared" si="48"/>
        <v>0.3489475465274168</v>
      </c>
      <c r="AA83" s="396"/>
      <c r="AB83"/>
      <c r="AC83"/>
      <c r="AD83"/>
      <c r="AE83"/>
      <c r="AF83" s="36"/>
      <c r="AG83" s="36"/>
      <c r="AH83" s="36"/>
      <c r="AI83" s="36"/>
      <c r="AP83"/>
      <c r="AQ83"/>
      <c r="AR83"/>
      <c r="AS83"/>
      <c r="AT83"/>
      <c r="AU83"/>
      <c r="AV83"/>
    </row>
    <row r="84" spans="1:48" ht="12.75">
      <c r="A84" s="298"/>
      <c r="B84" s="401">
        <v>1800</v>
      </c>
      <c r="C84" s="262">
        <f t="shared" si="23"/>
        <v>17.64</v>
      </c>
      <c r="D84" s="389">
        <f t="shared" si="44"/>
        <v>37600</v>
      </c>
      <c r="E84" s="264">
        <f t="shared" si="25"/>
        <v>0.4405</v>
      </c>
      <c r="F84" s="262">
        <f t="shared" si="26"/>
        <v>792.9</v>
      </c>
      <c r="G84" s="265">
        <f t="shared" si="27"/>
        <v>0.007197547345755411</v>
      </c>
      <c r="H84" s="265">
        <f t="shared" si="28"/>
        <v>5.706935290449465</v>
      </c>
      <c r="I84" s="320">
        <f t="shared" si="29"/>
        <v>11.093394733055115</v>
      </c>
      <c r="J84" s="267">
        <f t="shared" si="30"/>
        <v>7.22</v>
      </c>
      <c r="K84" s="262">
        <f t="shared" si="31"/>
        <v>2.2378797882013406</v>
      </c>
      <c r="L84" s="162">
        <f t="shared" si="32"/>
        <v>0.08668191784829571</v>
      </c>
      <c r="M84" s="160">
        <f t="shared" si="33"/>
        <v>10.131798002145716</v>
      </c>
      <c r="N84" s="268">
        <f t="shared" si="34"/>
        <v>13.043596004291434</v>
      </c>
      <c r="O84" s="268">
        <f t="shared" si="35"/>
        <v>91.63635611641048</v>
      </c>
      <c r="P84" s="164">
        <f t="shared" si="36"/>
        <v>2861.8873314292714</v>
      </c>
      <c r="Q84" s="390">
        <f t="shared" si="37"/>
        <v>14916.864214037545</v>
      </c>
      <c r="R84" s="391">
        <f t="shared" si="43"/>
        <v>0.7126079693328811</v>
      </c>
      <c r="S84" s="272">
        <f t="shared" si="38"/>
        <v>0.18327271223282096</v>
      </c>
      <c r="T84" s="162">
        <f t="shared" si="39"/>
        <v>15615.45795095598</v>
      </c>
      <c r="U84" s="358">
        <f t="shared" si="40"/>
        <v>0.15917898013206913</v>
      </c>
      <c r="V84" s="358">
        <f t="shared" si="41"/>
        <v>0.515</v>
      </c>
      <c r="W84" s="392">
        <f t="shared" si="45"/>
        <v>0.30908539831469733</v>
      </c>
      <c r="X84" s="393">
        <f t="shared" si="46"/>
      </c>
      <c r="Y84" s="294">
        <f t="shared" si="47"/>
        <v>3.201043822754838</v>
      </c>
      <c r="Z84" s="274">
        <f t="shared" si="48"/>
        <v>0.4433578701876507</v>
      </c>
      <c r="AA84" s="396"/>
      <c r="AB84"/>
      <c r="AC84"/>
      <c r="AD84"/>
      <c r="AE84"/>
      <c r="AF84" s="36"/>
      <c r="AG84" s="36"/>
      <c r="AH84" s="36"/>
      <c r="AI84" s="36"/>
      <c r="AP84"/>
      <c r="AQ84"/>
      <c r="AR84"/>
      <c r="AS84"/>
      <c r="AT84"/>
      <c r="AU84"/>
      <c r="AV84"/>
    </row>
    <row r="85" spans="1:48" ht="12.75">
      <c r="A85" s="298"/>
      <c r="B85" s="401">
        <v>1900</v>
      </c>
      <c r="C85" s="262">
        <f t="shared" si="23"/>
        <v>17.64</v>
      </c>
      <c r="D85" s="389">
        <f t="shared" si="44"/>
        <v>39480</v>
      </c>
      <c r="E85" s="264">
        <f t="shared" si="25"/>
        <v>0.4405</v>
      </c>
      <c r="F85" s="262">
        <f t="shared" si="26"/>
        <v>836.95</v>
      </c>
      <c r="G85" s="265">
        <f t="shared" si="27"/>
        <v>0.007197547345755411</v>
      </c>
      <c r="H85" s="265">
        <f t="shared" si="28"/>
        <v>6.023987251029991</v>
      </c>
      <c r="I85" s="320">
        <f t="shared" si="29"/>
        <v>11.709694440447066</v>
      </c>
      <c r="J85" s="267">
        <f t="shared" si="30"/>
        <v>7.22</v>
      </c>
      <c r="K85" s="262">
        <f t="shared" si="31"/>
        <v>2.2378797882013406</v>
      </c>
      <c r="L85" s="162">
        <f t="shared" si="32"/>
        <v>0.10047396443476417</v>
      </c>
      <c r="M85" s="160">
        <f t="shared" si="33"/>
        <v>10.533175017695633</v>
      </c>
      <c r="N85" s="268">
        <f t="shared" si="34"/>
        <v>13.846350035391268</v>
      </c>
      <c r="O85" s="268">
        <f t="shared" si="35"/>
        <v>91.63635611641048</v>
      </c>
      <c r="P85" s="164">
        <f t="shared" si="36"/>
        <v>3385.387951329081</v>
      </c>
      <c r="Q85" s="390">
        <f t="shared" si="37"/>
        <v>18344.5146629891</v>
      </c>
      <c r="R85" s="391">
        <f t="shared" si="43"/>
        <v>0.6854533403148119</v>
      </c>
      <c r="S85" s="272">
        <f t="shared" si="38"/>
        <v>0.18327271223282096</v>
      </c>
      <c r="T85" s="162">
        <f t="shared" si="39"/>
        <v>18471.86037727452</v>
      </c>
      <c r="U85" s="358">
        <f t="shared" si="40"/>
        <v>0.18829623218424588</v>
      </c>
      <c r="V85" s="358">
        <f t="shared" si="41"/>
        <v>0.515</v>
      </c>
      <c r="W85" s="392">
        <f t="shared" si="45"/>
        <v>0.36562375181406964</v>
      </c>
      <c r="X85" s="393">
        <f t="shared" si="46"/>
      </c>
      <c r="Y85" s="294">
        <f t="shared" si="47"/>
        <v>3.936591129396802</v>
      </c>
      <c r="Z85" s="274">
        <f t="shared" si="48"/>
        <v>0.5452342284483106</v>
      </c>
      <c r="AA85" s="396"/>
      <c r="AB85"/>
      <c r="AC85"/>
      <c r="AD85"/>
      <c r="AE85"/>
      <c r="AF85" s="36"/>
      <c r="AG85" s="36"/>
      <c r="AH85" s="36"/>
      <c r="AI85" s="36"/>
      <c r="AP85"/>
      <c r="AQ85"/>
      <c r="AR85"/>
      <c r="AS85"/>
      <c r="AT85"/>
      <c r="AU85"/>
      <c r="AV85"/>
    </row>
    <row r="86" spans="1:48" ht="12.75">
      <c r="A86" s="298"/>
      <c r="B86" s="315">
        <v>2000</v>
      </c>
      <c r="C86" s="262">
        <f t="shared" si="23"/>
        <v>17.64</v>
      </c>
      <c r="D86" s="389">
        <f t="shared" si="44"/>
        <v>41548</v>
      </c>
      <c r="E86" s="264">
        <f t="shared" si="25"/>
        <v>0.4405</v>
      </c>
      <c r="F86" s="262">
        <f t="shared" si="26"/>
        <v>881</v>
      </c>
      <c r="G86" s="265">
        <f t="shared" si="27"/>
        <v>0.007197547345755411</v>
      </c>
      <c r="H86" s="265">
        <f t="shared" si="28"/>
        <v>6.341039211610517</v>
      </c>
      <c r="I86" s="320">
        <f t="shared" si="29"/>
        <v>12.325994147839017</v>
      </c>
      <c r="J86" s="267">
        <f t="shared" si="30"/>
        <v>7.22</v>
      </c>
      <c r="K86" s="262">
        <f t="shared" si="31"/>
        <v>2.2378797882013406</v>
      </c>
      <c r="L86" s="162">
        <f t="shared" si="32"/>
        <v>0.11426601102123264</v>
      </c>
      <c r="M86" s="322">
        <f t="shared" si="33"/>
        <v>10.917551964694395</v>
      </c>
      <c r="N86" s="268">
        <f t="shared" si="34"/>
        <v>14.615103929388791</v>
      </c>
      <c r="O86" s="268">
        <f t="shared" si="35"/>
        <v>91.63635611641048</v>
      </c>
      <c r="P86" s="164">
        <f t="shared" si="36"/>
        <v>3916.0147570935424</v>
      </c>
      <c r="Q86" s="390">
        <f t="shared" si="37"/>
        <v>21994.194891279454</v>
      </c>
      <c r="R86" s="391">
        <f t="shared" si="43"/>
        <v>0.661320415359443</v>
      </c>
      <c r="S86" s="272">
        <f t="shared" si="38"/>
        <v>0.18327271223282096</v>
      </c>
      <c r="T86" s="162">
        <f t="shared" si="39"/>
        <v>21367.145765370806</v>
      </c>
      <c r="U86" s="358">
        <f t="shared" si="40"/>
        <v>0.21780984470306633</v>
      </c>
      <c r="V86" s="358">
        <f t="shared" si="41"/>
        <v>0.515</v>
      </c>
      <c r="W86" s="392">
        <f t="shared" si="45"/>
        <v>0.42293173728750744</v>
      </c>
      <c r="X86" s="393">
        <f t="shared" si="46"/>
      </c>
      <c r="Y86" s="294">
        <f t="shared" si="47"/>
        <v>4.719784311433359</v>
      </c>
      <c r="Z86" s="274">
        <f t="shared" si="48"/>
        <v>0.653709738425673</v>
      </c>
      <c r="AA86" s="396"/>
      <c r="AB86"/>
      <c r="AC86"/>
      <c r="AD86"/>
      <c r="AE86"/>
      <c r="AF86" s="36"/>
      <c r="AG86" s="36"/>
      <c r="AH86" s="36"/>
      <c r="AI86" s="36"/>
      <c r="AP86"/>
      <c r="AQ86"/>
      <c r="AR86"/>
      <c r="AS86"/>
      <c r="AT86"/>
      <c r="AU86"/>
      <c r="AV86"/>
    </row>
    <row r="87" spans="1:48" ht="12.75">
      <c r="A87" s="333" t="s">
        <v>190</v>
      </c>
      <c r="B87" s="315">
        <v>2100</v>
      </c>
      <c r="C87" s="262">
        <f t="shared" si="23"/>
        <v>17.64</v>
      </c>
      <c r="D87" s="389">
        <f t="shared" si="44"/>
        <v>43240</v>
      </c>
      <c r="E87" s="264">
        <f t="shared" si="25"/>
        <v>0.4405</v>
      </c>
      <c r="F87" s="262">
        <f t="shared" si="26"/>
        <v>925.05</v>
      </c>
      <c r="G87" s="265">
        <f t="shared" si="27"/>
        <v>0.007197547345755411</v>
      </c>
      <c r="H87" s="265">
        <f t="shared" si="28"/>
        <v>6.6580911721910425</v>
      </c>
      <c r="I87" s="320">
        <f t="shared" si="29"/>
        <v>12.942293855230968</v>
      </c>
      <c r="J87" s="267">
        <f t="shared" si="30"/>
        <v>7.22</v>
      </c>
      <c r="K87" s="262">
        <f t="shared" si="31"/>
        <v>2.2378797882013406</v>
      </c>
      <c r="L87" s="162">
        <f t="shared" si="32"/>
        <v>0.12805805760770114</v>
      </c>
      <c r="M87" s="322">
        <f t="shared" si="33"/>
        <v>11.284928843142003</v>
      </c>
      <c r="N87" s="268">
        <f t="shared" si="34"/>
        <v>15.349857686284007</v>
      </c>
      <c r="O87" s="268">
        <f t="shared" si="35"/>
        <v>91.63635611641048</v>
      </c>
      <c r="P87" s="164">
        <f t="shared" si="36"/>
        <v>4449.964418611314</v>
      </c>
      <c r="Q87" s="390">
        <f t="shared" si="37"/>
        <v>25834.130257761284</v>
      </c>
      <c r="R87" s="391">
        <f t="shared" si="43"/>
        <v>0.63979136247613</v>
      </c>
      <c r="S87" s="272">
        <f t="shared" si="38"/>
        <v>0.18327271223282096</v>
      </c>
      <c r="T87" s="162">
        <f t="shared" si="39"/>
        <v>24280.56181630733</v>
      </c>
      <c r="U87" s="358">
        <f t="shared" si="40"/>
        <v>0.2475082753955895</v>
      </c>
      <c r="V87" s="358">
        <f t="shared" si="41"/>
        <v>0.515</v>
      </c>
      <c r="W87" s="392">
        <f t="shared" si="45"/>
        <v>0.48059859300114466</v>
      </c>
      <c r="X87" s="393">
        <f t="shared" si="46"/>
      </c>
      <c r="Y87" s="294">
        <f t="shared" si="47"/>
        <v>5.543804776343623</v>
      </c>
      <c r="Z87" s="274">
        <f t="shared" si="48"/>
        <v>0.7678399967234935</v>
      </c>
      <c r="AA87" s="396"/>
      <c r="AB87"/>
      <c r="AC87"/>
      <c r="AD87"/>
      <c r="AE87"/>
      <c r="AF87" s="36"/>
      <c r="AG87" s="36"/>
      <c r="AH87" s="36"/>
      <c r="AI87" s="36"/>
      <c r="AP87"/>
      <c r="AQ87"/>
      <c r="AR87"/>
      <c r="AS87"/>
      <c r="AT87"/>
      <c r="AU87"/>
      <c r="AV87"/>
    </row>
    <row r="88" spans="1:48" ht="12.75">
      <c r="A88" s="333" t="s">
        <v>191</v>
      </c>
      <c r="B88" s="315">
        <v>2200</v>
      </c>
      <c r="C88" s="262">
        <f t="shared" si="23"/>
        <v>17.64</v>
      </c>
      <c r="D88" s="389">
        <f t="shared" si="44"/>
        <v>45120</v>
      </c>
      <c r="E88" s="264">
        <f t="shared" si="25"/>
        <v>0.4405</v>
      </c>
      <c r="F88" s="262">
        <f t="shared" si="26"/>
        <v>969.1</v>
      </c>
      <c r="G88" s="265">
        <f t="shared" si="27"/>
        <v>0.007197547345755411</v>
      </c>
      <c r="H88" s="265">
        <f t="shared" si="28"/>
        <v>6.975143132771569</v>
      </c>
      <c r="I88" s="320">
        <f t="shared" si="29"/>
        <v>13.558593562622919</v>
      </c>
      <c r="J88" s="267">
        <f t="shared" si="30"/>
        <v>7.22</v>
      </c>
      <c r="K88" s="262">
        <f t="shared" si="31"/>
        <v>2.2378797882013406</v>
      </c>
      <c r="L88" s="162">
        <f t="shared" si="32"/>
        <v>0.1418501041941696</v>
      </c>
      <c r="M88" s="322">
        <f t="shared" si="33"/>
        <v>11.635305653038463</v>
      </c>
      <c r="N88" s="268">
        <f t="shared" si="34"/>
        <v>16.050611306076927</v>
      </c>
      <c r="O88" s="268">
        <f t="shared" si="35"/>
        <v>91.63635611641048</v>
      </c>
      <c r="P88" s="164">
        <f t="shared" si="36"/>
        <v>4983.601817920928</v>
      </c>
      <c r="Q88" s="390">
        <f t="shared" si="37"/>
        <v>29830.436863673098</v>
      </c>
      <c r="R88" s="391">
        <f t="shared" si="43"/>
        <v>0.6205251684225894</v>
      </c>
      <c r="S88" s="272">
        <f t="shared" si="38"/>
        <v>0.18327271223282096</v>
      </c>
      <c r="T88" s="162">
        <f t="shared" si="39"/>
        <v>27192.27405545238</v>
      </c>
      <c r="U88" s="358">
        <f t="shared" si="40"/>
        <v>0.2771893379760691</v>
      </c>
      <c r="V88" s="358">
        <f t="shared" si="41"/>
        <v>0.515</v>
      </c>
      <c r="W88" s="392">
        <f t="shared" si="45"/>
        <v>0.5382317242253769</v>
      </c>
      <c r="X88" s="393">
        <f t="shared" si="46"/>
      </c>
      <c r="Y88" s="294">
        <f t="shared" si="47"/>
        <v>6.401381301217403</v>
      </c>
      <c r="Z88" s="274">
        <f t="shared" si="48"/>
        <v>0.886617908755873</v>
      </c>
      <c r="AA88" s="396"/>
      <c r="AB88"/>
      <c r="AC88"/>
      <c r="AD88"/>
      <c r="AE88"/>
      <c r="AF88" s="36"/>
      <c r="AG88" s="36"/>
      <c r="AH88" s="36"/>
      <c r="AI88" s="36"/>
      <c r="AP88"/>
      <c r="AQ88"/>
      <c r="AR88"/>
      <c r="AS88"/>
      <c r="AT88"/>
      <c r="AU88"/>
      <c r="AV88"/>
    </row>
    <row r="89" spans="1:48" ht="12.75">
      <c r="A89" s="333" t="s">
        <v>192</v>
      </c>
      <c r="B89" s="315">
        <v>2300</v>
      </c>
      <c r="C89" s="262">
        <f t="shared" si="23"/>
        <v>17.64</v>
      </c>
      <c r="D89" s="389">
        <f t="shared" si="44"/>
        <v>46530</v>
      </c>
      <c r="E89" s="264">
        <f t="shared" si="25"/>
        <v>0.4405</v>
      </c>
      <c r="F89" s="262">
        <f t="shared" si="26"/>
        <v>1013.15</v>
      </c>
      <c r="G89" s="265">
        <f t="shared" si="27"/>
        <v>0.007197547345755411</v>
      </c>
      <c r="H89" s="265">
        <f t="shared" si="28"/>
        <v>7.2921950933520945</v>
      </c>
      <c r="I89" s="320">
        <f t="shared" si="29"/>
        <v>14.17489327001487</v>
      </c>
      <c r="J89" s="267">
        <f t="shared" si="30"/>
        <v>7.22</v>
      </c>
      <c r="K89" s="262">
        <f t="shared" si="31"/>
        <v>2.2378797882013406</v>
      </c>
      <c r="L89" s="162">
        <f t="shared" si="32"/>
        <v>0.15564215078063806</v>
      </c>
      <c r="M89" s="322">
        <f t="shared" si="33"/>
        <v>11.968682394383764</v>
      </c>
      <c r="N89" s="268">
        <f t="shared" si="34"/>
        <v>16.71736478876753</v>
      </c>
      <c r="O89" s="268">
        <f t="shared" si="35"/>
        <v>91.63635611641048</v>
      </c>
      <c r="P89" s="164">
        <f t="shared" si="36"/>
        <v>5513.460049210766</v>
      </c>
      <c r="Q89" s="390">
        <f t="shared" si="37"/>
        <v>33947.59842145318</v>
      </c>
      <c r="R89" s="391">
        <f t="shared" si="43"/>
        <v>0.6032410053246917</v>
      </c>
      <c r="S89" s="272">
        <f t="shared" si="38"/>
        <v>0.18327271223282096</v>
      </c>
      <c r="T89" s="162">
        <f t="shared" si="39"/>
        <v>30083.365832479893</v>
      </c>
      <c r="U89" s="358">
        <f t="shared" si="40"/>
        <v>0.306660202165952</v>
      </c>
      <c r="V89" s="358">
        <f t="shared" si="41"/>
        <v>0.515</v>
      </c>
      <c r="W89" s="392">
        <f t="shared" si="45"/>
        <v>0.5954567032348583</v>
      </c>
      <c r="X89" s="393">
        <f t="shared" si="46"/>
      </c>
      <c r="Y89" s="294">
        <f t="shared" si="47"/>
        <v>7.284892365118708</v>
      </c>
      <c r="Z89" s="274">
        <f t="shared" si="48"/>
        <v>1.0089878622048072</v>
      </c>
      <c r="AA89" s="396"/>
      <c r="AB89"/>
      <c r="AC89"/>
      <c r="AD89"/>
      <c r="AE89"/>
      <c r="AF89" s="36"/>
      <c r="AG89" s="36"/>
      <c r="AH89" s="36"/>
      <c r="AI89" s="36"/>
      <c r="AP89"/>
      <c r="AQ89"/>
      <c r="AR89"/>
      <c r="AS89"/>
      <c r="AT89"/>
      <c r="AU89"/>
      <c r="AV89"/>
    </row>
    <row r="90" spans="1:48" ht="12.75">
      <c r="A90" s="333"/>
      <c r="B90" s="315">
        <v>2400</v>
      </c>
      <c r="C90" s="262">
        <f t="shared" si="23"/>
        <v>17.64</v>
      </c>
      <c r="D90" s="389">
        <f t="shared" si="44"/>
        <v>47940</v>
      </c>
      <c r="E90" s="264">
        <f t="shared" si="25"/>
        <v>0.4405</v>
      </c>
      <c r="F90" s="262">
        <f t="shared" si="26"/>
        <v>1057.2</v>
      </c>
      <c r="G90" s="265">
        <f t="shared" si="27"/>
        <v>0.007197547345755411</v>
      </c>
      <c r="H90" s="265">
        <f t="shared" si="28"/>
        <v>7.609247053932621</v>
      </c>
      <c r="I90" s="320">
        <f t="shared" si="29"/>
        <v>14.791192977406821</v>
      </c>
      <c r="J90" s="267">
        <f t="shared" si="30"/>
        <v>7.22</v>
      </c>
      <c r="K90" s="262">
        <f t="shared" si="31"/>
        <v>2.2378797882013406</v>
      </c>
      <c r="L90" s="162">
        <f t="shared" si="32"/>
        <v>0.16943419736710655</v>
      </c>
      <c r="M90" s="322">
        <f t="shared" si="33"/>
        <v>12.285059067177913</v>
      </c>
      <c r="N90" s="268">
        <f t="shared" si="34"/>
        <v>17.350118134355828</v>
      </c>
      <c r="O90" s="268">
        <f t="shared" si="35"/>
        <v>91.63635611641048</v>
      </c>
      <c r="P90" s="164">
        <f t="shared" si="36"/>
        <v>6036.240418819108</v>
      </c>
      <c r="Q90" s="390">
        <f t="shared" si="37"/>
        <v>38148.92105683467</v>
      </c>
      <c r="R90" s="391">
        <f t="shared" si="43"/>
        <v>0.5877057619763285</v>
      </c>
      <c r="S90" s="272">
        <f t="shared" si="38"/>
        <v>0.18327271223282096</v>
      </c>
      <c r="T90" s="162">
        <f t="shared" si="39"/>
        <v>32935.83832136971</v>
      </c>
      <c r="U90" s="358">
        <f t="shared" si="40"/>
        <v>0.33573739369388084</v>
      </c>
      <c r="V90" s="358">
        <f t="shared" si="41"/>
        <v>0.515</v>
      </c>
      <c r="W90" s="392">
        <f t="shared" si="45"/>
        <v>0.6519172693085065</v>
      </c>
      <c r="X90" s="393">
        <f t="shared" si="46"/>
      </c>
      <c r="Y90" s="294">
        <f t="shared" si="47"/>
        <v>8.18646374610186</v>
      </c>
      <c r="Z90" s="274">
        <f t="shared" si="48"/>
        <v>1.133859244612446</v>
      </c>
      <c r="AA90" s="396"/>
      <c r="AB90"/>
      <c r="AC90"/>
      <c r="AD90"/>
      <c r="AE90"/>
      <c r="AF90" s="36"/>
      <c r="AG90" s="36"/>
      <c r="AH90" s="36"/>
      <c r="AI90" s="36"/>
      <c r="AP90"/>
      <c r="AQ90"/>
      <c r="AR90"/>
      <c r="AS90"/>
      <c r="AT90"/>
      <c r="AU90"/>
      <c r="AV90"/>
    </row>
    <row r="91" spans="2:35" s="73" customFormat="1" ht="12.75">
      <c r="B91" s="334">
        <v>2500</v>
      </c>
      <c r="C91" s="262">
        <f t="shared" si="23"/>
        <v>17.64</v>
      </c>
      <c r="D91" s="389">
        <f t="shared" si="44"/>
        <v>49350</v>
      </c>
      <c r="E91" s="264">
        <f t="shared" si="25"/>
        <v>0.4405</v>
      </c>
      <c r="F91" s="262">
        <f t="shared" si="26"/>
        <v>1101.25</v>
      </c>
      <c r="G91" s="265">
        <f t="shared" si="27"/>
        <v>0.007197547345755411</v>
      </c>
      <c r="H91" s="265">
        <f t="shared" si="28"/>
        <v>7.9262990145131464</v>
      </c>
      <c r="I91" s="320">
        <f t="shared" si="29"/>
        <v>15.407492684798772</v>
      </c>
      <c r="J91" s="267">
        <f t="shared" si="30"/>
        <v>7.22</v>
      </c>
      <c r="K91" s="262">
        <f t="shared" si="31"/>
        <v>2.2378797882013406</v>
      </c>
      <c r="L91" s="162">
        <f t="shared" si="32"/>
        <v>0.18322624395357504</v>
      </c>
      <c r="M91" s="322">
        <f t="shared" si="33"/>
        <v>12.58443567142091</v>
      </c>
      <c r="N91" s="268">
        <f t="shared" si="34"/>
        <v>17.94887134284182</v>
      </c>
      <c r="O91" s="268">
        <f t="shared" si="35"/>
        <v>91.63635611641048</v>
      </c>
      <c r="P91" s="164">
        <f t="shared" si="36"/>
        <v>6548.81244523409</v>
      </c>
      <c r="Q91" s="390">
        <f t="shared" si="37"/>
        <v>42396.96604422036</v>
      </c>
      <c r="R91" s="391">
        <f t="shared" si="43"/>
        <v>0.573724574427801</v>
      </c>
      <c r="S91" s="272">
        <f t="shared" si="38"/>
        <v>0.18327271223282096</v>
      </c>
      <c r="T91" s="162">
        <f t="shared" si="39"/>
        <v>35732.61052040737</v>
      </c>
      <c r="U91" s="358">
        <f t="shared" si="40"/>
        <v>0.36424679429569184</v>
      </c>
      <c r="V91" s="358">
        <f t="shared" si="41"/>
        <v>0.515</v>
      </c>
      <c r="W91" s="392">
        <f t="shared" si="45"/>
        <v>0.7072753287294987</v>
      </c>
      <c r="X91" s="393">
        <f t="shared" si="46"/>
      </c>
      <c r="Y91" s="397">
        <f t="shared" si="47"/>
        <v>9.098061382879905</v>
      </c>
      <c r="Z91" s="271">
        <f t="shared" si="48"/>
        <v>1.2601193051080202</v>
      </c>
      <c r="AA91" s="396"/>
      <c r="AB91"/>
      <c r="AC91"/>
      <c r="AD91"/>
      <c r="AE91"/>
      <c r="AF91" s="165"/>
      <c r="AG91" s="165"/>
      <c r="AH91" s="165"/>
      <c r="AI91" s="165"/>
    </row>
    <row r="92" spans="1:41" s="76" customFormat="1" ht="12.75">
      <c r="A92" s="335" t="s">
        <v>190</v>
      </c>
      <c r="B92" s="334">
        <v>2600</v>
      </c>
      <c r="C92" s="262">
        <f t="shared" si="23"/>
        <v>17.64</v>
      </c>
      <c r="D92" s="389">
        <f t="shared" si="44"/>
        <v>50384</v>
      </c>
      <c r="E92" s="264">
        <f t="shared" si="25"/>
        <v>0.4405</v>
      </c>
      <c r="F92" s="262">
        <f t="shared" si="26"/>
        <v>1145.3</v>
      </c>
      <c r="G92" s="265">
        <f t="shared" si="27"/>
        <v>0.007197547345755411</v>
      </c>
      <c r="H92" s="265">
        <f t="shared" si="28"/>
        <v>8.243350975093671</v>
      </c>
      <c r="I92" s="320">
        <f t="shared" si="29"/>
        <v>16.02379239219072</v>
      </c>
      <c r="J92" s="267">
        <f t="shared" si="30"/>
        <v>7.22</v>
      </c>
      <c r="K92" s="262">
        <f t="shared" si="31"/>
        <v>2.2378797882013406</v>
      </c>
      <c r="L92" s="162">
        <f t="shared" si="32"/>
        <v>0.19701829054004347</v>
      </c>
      <c r="M92" s="322">
        <f t="shared" si="33"/>
        <v>12.866812207112751</v>
      </c>
      <c r="N92" s="268">
        <f t="shared" si="34"/>
        <v>18.513624414225504</v>
      </c>
      <c r="O92" s="268">
        <f t="shared" si="35"/>
        <v>91.63635611641048</v>
      </c>
      <c r="P92" s="164">
        <f t="shared" si="36"/>
        <v>7048.213859093722</v>
      </c>
      <c r="Q92" s="390">
        <f t="shared" si="37"/>
        <v>46653.96047533849</v>
      </c>
      <c r="R92" s="391">
        <f t="shared" si="43"/>
        <v>0.5611335491481563</v>
      </c>
      <c r="S92" s="272">
        <f t="shared" si="38"/>
        <v>0.18327271223282096</v>
      </c>
      <c r="T92" s="162">
        <f t="shared" si="39"/>
        <v>38457.519252184175</v>
      </c>
      <c r="U92" s="358">
        <f t="shared" si="40"/>
        <v>0.3920236417144156</v>
      </c>
      <c r="V92" s="358">
        <f t="shared" si="41"/>
        <v>0.515</v>
      </c>
      <c r="W92" s="392">
        <f t="shared" si="45"/>
        <v>0.761210954785273</v>
      </c>
      <c r="X92" s="393">
        <f t="shared" si="46"/>
      </c>
      <c r="Y92" s="397">
        <f t="shared" si="47"/>
        <v>10.011579501145599</v>
      </c>
      <c r="Z92" s="271">
        <f t="shared" si="48"/>
        <v>1.3866453602694735</v>
      </c>
      <c r="AA92" s="396"/>
      <c r="AB92" s="203"/>
      <c r="AC92" s="203"/>
      <c r="AD92" s="203"/>
      <c r="AE92" s="203"/>
      <c r="AF92" s="203"/>
      <c r="AG92" s="203"/>
      <c r="AH92" s="203"/>
      <c r="AI92" s="203"/>
      <c r="AJ92" s="203"/>
      <c r="AK92" s="203"/>
      <c r="AL92" s="203"/>
      <c r="AM92" s="203"/>
      <c r="AN92" s="203"/>
      <c r="AO92" s="203"/>
    </row>
    <row r="93" spans="1:27" s="73" customFormat="1" ht="12.75">
      <c r="A93" s="335" t="s">
        <v>191</v>
      </c>
      <c r="B93" s="334">
        <v>2700</v>
      </c>
      <c r="C93" s="262">
        <f t="shared" si="23"/>
        <v>17.64</v>
      </c>
      <c r="D93" s="389">
        <f t="shared" si="44"/>
        <v>51230</v>
      </c>
      <c r="E93" s="264">
        <f t="shared" si="25"/>
        <v>0.4405</v>
      </c>
      <c r="F93" s="262">
        <f t="shared" si="26"/>
        <v>1189.35</v>
      </c>
      <c r="G93" s="265">
        <f t="shared" si="27"/>
        <v>0.007197547345755411</v>
      </c>
      <c r="H93" s="265">
        <f t="shared" si="28"/>
        <v>8.560402935674198</v>
      </c>
      <c r="I93" s="320">
        <f t="shared" si="29"/>
        <v>16.640092099582674</v>
      </c>
      <c r="J93" s="267">
        <f t="shared" si="30"/>
        <v>7.22</v>
      </c>
      <c r="K93" s="262">
        <f t="shared" si="31"/>
        <v>2.2378797882013406</v>
      </c>
      <c r="L93" s="162">
        <f t="shared" si="32"/>
        <v>0.21081033712651198</v>
      </c>
      <c r="M93" s="322">
        <f t="shared" si="33"/>
        <v>13.132188674253442</v>
      </c>
      <c r="N93" s="268">
        <f t="shared" si="34"/>
        <v>19.044377348506885</v>
      </c>
      <c r="O93" s="268">
        <f t="shared" si="35"/>
        <v>91.63635611641048</v>
      </c>
      <c r="P93" s="164">
        <f t="shared" si="36"/>
        <v>7531.650603185886</v>
      </c>
      <c r="Q93" s="390">
        <f t="shared" si="37"/>
        <v>50882.18586117889</v>
      </c>
      <c r="R93" s="391">
        <f t="shared" si="43"/>
        <v>0.5497941111792969</v>
      </c>
      <c r="S93" s="272">
        <f t="shared" si="38"/>
        <v>0.18327271223282096</v>
      </c>
      <c r="T93" s="162">
        <f t="shared" si="39"/>
        <v>41095.319163597225</v>
      </c>
      <c r="U93" s="358">
        <f t="shared" si="40"/>
        <v>0.41891252970027754</v>
      </c>
      <c r="V93" s="358">
        <f t="shared" si="41"/>
        <v>0.515</v>
      </c>
      <c r="W93" s="392">
        <f t="shared" si="45"/>
        <v>0.8134223877675292</v>
      </c>
      <c r="X93" s="393">
        <f t="shared" si="46"/>
      </c>
      <c r="Y93" s="397">
        <f t="shared" si="47"/>
        <v>10.918924004544827</v>
      </c>
      <c r="Z93" s="271">
        <f t="shared" si="48"/>
        <v>1.5123163441197822</v>
      </c>
      <c r="AA93" s="396"/>
    </row>
    <row r="94" spans="1:27" s="223" customFormat="1" ht="12.75">
      <c r="A94" s="335" t="s">
        <v>193</v>
      </c>
      <c r="B94" s="334">
        <v>2800</v>
      </c>
      <c r="C94" s="262">
        <f t="shared" si="23"/>
        <v>17.64</v>
      </c>
      <c r="D94" s="389">
        <f t="shared" si="44"/>
        <v>51700</v>
      </c>
      <c r="E94" s="264">
        <f t="shared" si="25"/>
        <v>0.4405</v>
      </c>
      <c r="F94" s="262">
        <f t="shared" si="26"/>
        <v>1233.4</v>
      </c>
      <c r="G94" s="265">
        <f t="shared" si="27"/>
        <v>0.007197547345755411</v>
      </c>
      <c r="H94" s="265">
        <f t="shared" si="28"/>
        <v>8.877454896254724</v>
      </c>
      <c r="I94" s="320">
        <f t="shared" si="29"/>
        <v>17.256391806974623</v>
      </c>
      <c r="J94" s="267">
        <f t="shared" si="30"/>
        <v>7.22</v>
      </c>
      <c r="K94" s="262">
        <f t="shared" si="31"/>
        <v>2.2378797882013406</v>
      </c>
      <c r="L94" s="162">
        <f t="shared" si="32"/>
        <v>0.22460238371298044</v>
      </c>
      <c r="M94" s="322">
        <f t="shared" si="33"/>
        <v>13.380565072842977</v>
      </c>
      <c r="N94" s="268">
        <f t="shared" si="34"/>
        <v>19.541130145685955</v>
      </c>
      <c r="O94" s="268">
        <f t="shared" si="35"/>
        <v>91.63635611641048</v>
      </c>
      <c r="P94" s="164">
        <f t="shared" si="36"/>
        <v>7996.496832448334</v>
      </c>
      <c r="Q94" s="390">
        <f t="shared" si="37"/>
        <v>55044.34466720957</v>
      </c>
      <c r="R94" s="391">
        <f t="shared" si="43"/>
        <v>0.5395885719844238</v>
      </c>
      <c r="S94" s="272">
        <f t="shared" si="38"/>
        <v>0.18327271223282096</v>
      </c>
      <c r="T94" s="162">
        <f t="shared" si="39"/>
        <v>43631.68272584936</v>
      </c>
      <c r="U94" s="358">
        <f t="shared" si="40"/>
        <v>0.4447674080106968</v>
      </c>
      <c r="V94" s="358">
        <f t="shared" si="41"/>
        <v>0.515</v>
      </c>
      <c r="W94" s="392">
        <f t="shared" si="45"/>
        <v>0.8636260349722268</v>
      </c>
      <c r="X94" s="393" t="str">
        <f t="shared" si="46"/>
        <v>P &gt; puissance disponible</v>
      </c>
      <c r="Y94" s="397">
        <f t="shared" si="47"/>
        <v>11.812091130302482</v>
      </c>
      <c r="Z94" s="271">
        <f t="shared" si="48"/>
        <v>1.6360237022579616</v>
      </c>
      <c r="AA94" s="396"/>
    </row>
    <row r="95" spans="1:27" s="260" customFormat="1" ht="12.75">
      <c r="A95" s="73"/>
      <c r="B95" s="334">
        <v>2900</v>
      </c>
      <c r="C95" s="262">
        <f t="shared" si="23"/>
        <v>17.64</v>
      </c>
      <c r="D95" s="389">
        <f t="shared" si="44"/>
        <v>51700</v>
      </c>
      <c r="E95" s="264">
        <f t="shared" si="25"/>
        <v>0.4405</v>
      </c>
      <c r="F95" s="262">
        <f t="shared" si="26"/>
        <v>1277.45</v>
      </c>
      <c r="G95" s="265">
        <f t="shared" si="27"/>
        <v>0.007197547345755411</v>
      </c>
      <c r="H95" s="265">
        <f t="shared" si="28"/>
        <v>9.19450685683525</v>
      </c>
      <c r="I95" s="320">
        <f t="shared" si="29"/>
        <v>17.872691514366576</v>
      </c>
      <c r="J95" s="267">
        <f t="shared" si="30"/>
        <v>7.22</v>
      </c>
      <c r="K95" s="262">
        <f t="shared" si="31"/>
        <v>2.2378797882013406</v>
      </c>
      <c r="L95" s="162">
        <f t="shared" si="32"/>
        <v>0.23839443029944893</v>
      </c>
      <c r="M95" s="160">
        <f t="shared" si="33"/>
        <v>13.61194140288136</v>
      </c>
      <c r="N95" s="268">
        <f t="shared" si="34"/>
        <v>20.00388280576272</v>
      </c>
      <c r="O95" s="268">
        <f t="shared" si="35"/>
        <v>91.63635611641048</v>
      </c>
      <c r="P95" s="164">
        <f t="shared" si="36"/>
        <v>8440.294913968693</v>
      </c>
      <c r="Q95" s="390">
        <f t="shared" si="37"/>
        <v>59103.90478187387</v>
      </c>
      <c r="R95" s="391">
        <f t="shared" si="43"/>
        <v>0.5304166236325172</v>
      </c>
      <c r="S95" s="272">
        <f t="shared" si="38"/>
        <v>0.18327271223282096</v>
      </c>
      <c r="T95" s="162">
        <f t="shared" si="39"/>
        <v>46053.200234449214</v>
      </c>
      <c r="U95" s="358">
        <f t="shared" si="40"/>
        <v>0.4694515824102876</v>
      </c>
      <c r="V95" s="358">
        <f t="shared" si="41"/>
        <v>0.515</v>
      </c>
      <c r="W95" s="392">
        <f t="shared" si="45"/>
        <v>0.9115564706995876</v>
      </c>
      <c r="X95" s="393" t="str">
        <f t="shared" si="46"/>
        <v>P &gt; puissance disponible</v>
      </c>
      <c r="Y95" s="397">
        <f t="shared" si="47"/>
        <v>12.68324136950083</v>
      </c>
      <c r="Z95" s="271">
        <f t="shared" si="48"/>
        <v>1.7566816301247687</v>
      </c>
      <c r="AA95" s="396"/>
    </row>
    <row r="96" spans="1:27" s="260" customFormat="1" ht="12.75">
      <c r="A96" s="73"/>
      <c r="B96" s="336">
        <v>3000</v>
      </c>
      <c r="C96" s="402">
        <f t="shared" si="23"/>
        <v>17.64</v>
      </c>
      <c r="D96" s="403">
        <f t="shared" si="44"/>
        <v>51700</v>
      </c>
      <c r="E96" s="404">
        <f t="shared" si="25"/>
        <v>0.4405</v>
      </c>
      <c r="F96" s="402">
        <f t="shared" si="26"/>
        <v>1321.5</v>
      </c>
      <c r="G96" s="405">
        <f t="shared" si="27"/>
        <v>0.007197547345755411</v>
      </c>
      <c r="H96" s="405">
        <f t="shared" si="28"/>
        <v>9.511558817415775</v>
      </c>
      <c r="I96" s="341">
        <f t="shared" si="29"/>
        <v>18.488991221758525</v>
      </c>
      <c r="J96" s="406">
        <f t="shared" si="30"/>
        <v>7.22</v>
      </c>
      <c r="K96" s="402">
        <f t="shared" si="31"/>
        <v>2.2378797882013406</v>
      </c>
      <c r="L96" s="342">
        <f t="shared" si="32"/>
        <v>0.2521864768859174</v>
      </c>
      <c r="M96" s="407">
        <f t="shared" si="33"/>
        <v>13.826317664368588</v>
      </c>
      <c r="N96" s="408">
        <f t="shared" si="34"/>
        <v>20.432635328737177</v>
      </c>
      <c r="O96" s="408">
        <f t="shared" si="35"/>
        <v>91.63635611641048</v>
      </c>
      <c r="P96" s="409">
        <f t="shared" si="36"/>
        <v>8860.75542698445</v>
      </c>
      <c r="Q96" s="410">
        <f t="shared" si="37"/>
        <v>63025.42191836796</v>
      </c>
      <c r="R96" s="411">
        <f t="shared" si="43"/>
        <v>0.5221925443392971</v>
      </c>
      <c r="S96" s="412">
        <f t="shared" si="38"/>
        <v>0.18327271223282096</v>
      </c>
      <c r="T96" s="413">
        <f t="shared" si="39"/>
        <v>48347.37980921113</v>
      </c>
      <c r="U96" s="414">
        <f t="shared" si="40"/>
        <v>0.49283771467085763</v>
      </c>
      <c r="V96" s="414">
        <f t="shared" si="41"/>
        <v>0.515</v>
      </c>
      <c r="W96" s="415">
        <f t="shared" si="45"/>
        <v>0.9569664362540925</v>
      </c>
      <c r="X96" s="393" t="str">
        <f t="shared" si="46"/>
        <v>P &gt; puissance disponible</v>
      </c>
      <c r="Y96" s="416">
        <f t="shared" si="47"/>
        <v>13.524768652010291</v>
      </c>
      <c r="Z96" s="417">
        <f t="shared" si="48"/>
        <v>1.8732366554030875</v>
      </c>
      <c r="AA96" s="396"/>
    </row>
    <row r="97" spans="1:27" s="260" customFormat="1" ht="12.75" hidden="1">
      <c r="A97" s="335" t="s">
        <v>190</v>
      </c>
      <c r="B97" s="275">
        <v>3100</v>
      </c>
      <c r="C97" s="262">
        <f t="shared" si="23"/>
        <v>17.64</v>
      </c>
      <c r="D97" s="263">
        <f>C97*B97</f>
        <v>54684</v>
      </c>
      <c r="E97" s="264">
        <f t="shared" si="25"/>
        <v>0.4405</v>
      </c>
      <c r="F97" s="262">
        <f t="shared" si="26"/>
        <v>1365.55</v>
      </c>
      <c r="G97" s="265">
        <f t="shared" si="27"/>
        <v>0.007197547345755411</v>
      </c>
      <c r="H97" s="265">
        <f t="shared" si="28"/>
        <v>9.828610777996301</v>
      </c>
      <c r="I97" s="276">
        <f t="shared" si="29"/>
        <v>19.105290929150478</v>
      </c>
      <c r="J97" s="267">
        <f t="shared" si="30"/>
        <v>7.22</v>
      </c>
      <c r="K97" s="262">
        <f t="shared" si="31"/>
        <v>2.2378797882013406</v>
      </c>
      <c r="L97" s="162">
        <f t="shared" si="32"/>
        <v>0.2659785234723859</v>
      </c>
      <c r="M97" s="160">
        <f t="shared" si="33"/>
        <v>14.023693857304664</v>
      </c>
      <c r="N97" s="268">
        <f t="shared" si="34"/>
        <v>20.82738771460933</v>
      </c>
      <c r="O97" s="268">
        <f t="shared" si="35"/>
        <v>91.63635611641048</v>
      </c>
      <c r="P97" s="164">
        <f t="shared" si="36"/>
        <v>9255.757162882977</v>
      </c>
      <c r="Q97" s="164">
        <f t="shared" si="37"/>
        <v>66774.8399496992</v>
      </c>
      <c r="R97" s="274">
        <f t="shared" si="43"/>
        <v>0.5148429560332455</v>
      </c>
      <c r="S97" s="272">
        <f t="shared" si="38"/>
        <v>0.18327271223282096</v>
      </c>
      <c r="T97" s="162">
        <f t="shared" si="39"/>
        <v>50502.647394255306</v>
      </c>
      <c r="U97" s="358">
        <f t="shared" si="40"/>
        <v>0.5148078225714099</v>
      </c>
      <c r="V97" s="358">
        <f t="shared" si="41"/>
        <v>0.515</v>
      </c>
      <c r="W97" s="274">
        <f>U97/V97</f>
        <v>0.9996268399444852</v>
      </c>
      <c r="X97" s="393" t="str">
        <f t="shared" si="46"/>
        <v>P &gt; puissance disponible</v>
      </c>
      <c r="Y97" s="268"/>
      <c r="Z97" s="268"/>
      <c r="AA97" s="262"/>
    </row>
    <row r="98" spans="1:27" s="260" customFormat="1" ht="12.75" hidden="1">
      <c r="A98" s="335" t="s">
        <v>194</v>
      </c>
      <c r="B98" s="275">
        <v>3200</v>
      </c>
      <c r="C98" s="262">
        <f t="shared" si="23"/>
        <v>17.64</v>
      </c>
      <c r="D98" s="263">
        <f>C98*B98</f>
        <v>56448</v>
      </c>
      <c r="E98" s="264">
        <f t="shared" si="25"/>
        <v>0.4405</v>
      </c>
      <c r="F98" s="262">
        <f t="shared" si="26"/>
        <v>1409.6</v>
      </c>
      <c r="G98" s="265">
        <f t="shared" si="27"/>
        <v>0.007197547345755411</v>
      </c>
      <c r="H98" s="265">
        <f t="shared" si="28"/>
        <v>10.145662738576826</v>
      </c>
      <c r="I98" s="276">
        <f t="shared" si="29"/>
        <v>19.721590636542427</v>
      </c>
      <c r="J98" s="267">
        <f t="shared" si="30"/>
        <v>7.22</v>
      </c>
      <c r="K98" s="262">
        <f t="shared" si="31"/>
        <v>2.2378797882013406</v>
      </c>
      <c r="L98" s="162">
        <f t="shared" si="32"/>
        <v>0.2797705700588543</v>
      </c>
      <c r="M98" s="160">
        <f t="shared" si="33"/>
        <v>14.204069981689587</v>
      </c>
      <c r="N98" s="268">
        <f t="shared" si="34"/>
        <v>21.188139963379175</v>
      </c>
      <c r="O98" s="268">
        <f t="shared" si="35"/>
        <v>91.63635611641048</v>
      </c>
      <c r="P98" s="164">
        <f t="shared" si="36"/>
        <v>9623.34712520151</v>
      </c>
      <c r="Q98" s="164">
        <f t="shared" si="37"/>
        <v>70319.76917702444</v>
      </c>
      <c r="R98" s="274">
        <f t="shared" si="43"/>
        <v>0.5083050146406822</v>
      </c>
      <c r="S98" s="272">
        <f t="shared" si="38"/>
        <v>0.18327271223282096</v>
      </c>
      <c r="T98" s="162">
        <f t="shared" si="39"/>
        <v>52508.34675800763</v>
      </c>
      <c r="U98" s="358">
        <f t="shared" si="40"/>
        <v>0.535253279898141</v>
      </c>
      <c r="V98" s="358">
        <f t="shared" si="41"/>
        <v>0.515</v>
      </c>
      <c r="W98" s="274">
        <f>U98/V98</f>
        <v>1.0393267570837688</v>
      </c>
      <c r="X98" s="393" t="str">
        <f t="shared" si="46"/>
        <v>P &gt; puissance disponible</v>
      </c>
      <c r="Y98" s="268"/>
      <c r="Z98" s="268"/>
      <c r="AA98" s="262"/>
    </row>
    <row r="99" spans="1:27" s="260" customFormat="1" ht="12.75" hidden="1">
      <c r="A99" s="335" t="s">
        <v>193</v>
      </c>
      <c r="B99" s="275">
        <v>3400</v>
      </c>
      <c r="C99" s="262">
        <f t="shared" si="23"/>
        <v>17.64</v>
      </c>
      <c r="D99" s="263">
        <f>C99*B99</f>
        <v>59976</v>
      </c>
      <c r="E99" s="264">
        <f t="shared" si="25"/>
        <v>0.4405</v>
      </c>
      <c r="F99" s="262">
        <f t="shared" si="26"/>
        <v>1497.7</v>
      </c>
      <c r="G99" s="265">
        <f t="shared" si="27"/>
        <v>0.007197547345755411</v>
      </c>
      <c r="H99" s="265">
        <f t="shared" si="28"/>
        <v>10.779766659737879</v>
      </c>
      <c r="I99" s="276">
        <f t="shared" si="29"/>
        <v>20.95419005132633</v>
      </c>
      <c r="J99" s="267">
        <f t="shared" si="30"/>
        <v>7.22</v>
      </c>
      <c r="K99" s="262">
        <f t="shared" si="31"/>
        <v>2.2378797882013406</v>
      </c>
      <c r="L99" s="162">
        <f t="shared" si="32"/>
        <v>0.3073546632317912</v>
      </c>
      <c r="M99" s="160">
        <f t="shared" si="33"/>
        <v>14.513822024805977</v>
      </c>
      <c r="N99" s="268">
        <f t="shared" si="34"/>
        <v>21.807644049611955</v>
      </c>
      <c r="O99" s="268">
        <f t="shared" si="35"/>
        <v>91.63635611641048</v>
      </c>
      <c r="P99" s="164">
        <f t="shared" si="36"/>
        <v>10269.320803996894</v>
      </c>
      <c r="Q99" s="164">
        <f t="shared" si="37"/>
        <v>76676.44970802755</v>
      </c>
      <c r="R99" s="274">
        <f t="shared" si="43"/>
        <v>0.49745683719010036</v>
      </c>
      <c r="S99" s="272">
        <f t="shared" si="38"/>
        <v>0.18327271223282096</v>
      </c>
      <c r="T99" s="162">
        <f t="shared" si="39"/>
        <v>56033.00501686926</v>
      </c>
      <c r="U99" s="358">
        <f t="shared" si="40"/>
        <v>0.5711825180108997</v>
      </c>
      <c r="V99" s="358">
        <f t="shared" si="41"/>
        <v>0.515</v>
      </c>
      <c r="W99" s="274">
        <f>U99/V99</f>
        <v>1.1090922679823294</v>
      </c>
      <c r="X99" s="393" t="str">
        <f t="shared" si="46"/>
        <v>P &gt; puissance disponible</v>
      </c>
      <c r="Y99" s="268"/>
      <c r="Z99" s="268"/>
      <c r="AA99" s="262"/>
    </row>
    <row r="100" spans="1:27" s="260" customFormat="1" ht="12.75" hidden="1">
      <c r="A100" s="73"/>
      <c r="B100" s="275">
        <v>3500</v>
      </c>
      <c r="C100" s="262">
        <f t="shared" si="23"/>
        <v>17.64</v>
      </c>
      <c r="D100" s="263">
        <f>C100*B100</f>
        <v>61740</v>
      </c>
      <c r="E100" s="264">
        <f t="shared" si="25"/>
        <v>0.4405</v>
      </c>
      <c r="F100" s="262">
        <f t="shared" si="26"/>
        <v>1541.75</v>
      </c>
      <c r="G100" s="265">
        <f t="shared" si="27"/>
        <v>0.007197547345755411</v>
      </c>
      <c r="H100" s="265">
        <f t="shared" si="28"/>
        <v>11.096818620318405</v>
      </c>
      <c r="I100" s="276">
        <f t="shared" si="29"/>
        <v>21.57048975871828</v>
      </c>
      <c r="J100" s="267">
        <f t="shared" si="30"/>
        <v>7.22</v>
      </c>
      <c r="K100" s="262">
        <f t="shared" si="31"/>
        <v>2.2378797882013406</v>
      </c>
      <c r="L100" s="162">
        <f t="shared" si="32"/>
        <v>0.3211467098182597</v>
      </c>
      <c r="M100" s="160">
        <f t="shared" si="33"/>
        <v>14.643197943537439</v>
      </c>
      <c r="N100" s="268">
        <f t="shared" si="34"/>
        <v>22.06639588707488</v>
      </c>
      <c r="O100" s="268">
        <f t="shared" si="35"/>
        <v>91.63635611641048</v>
      </c>
      <c r="P100" s="164">
        <f t="shared" si="36"/>
        <v>10544.639588297568</v>
      </c>
      <c r="Q100" s="164">
        <f t="shared" si="37"/>
        <v>79433.94923574137</v>
      </c>
      <c r="R100" s="274">
        <f t="shared" si="43"/>
        <v>0.4930616951187525</v>
      </c>
      <c r="S100" s="272">
        <f t="shared" si="38"/>
        <v>0.18327271223282096</v>
      </c>
      <c r="T100" s="162">
        <f t="shared" si="39"/>
        <v>57535.24057035921</v>
      </c>
      <c r="U100" s="358">
        <f t="shared" si="40"/>
        <v>0.5864958264052926</v>
      </c>
      <c r="V100" s="358">
        <f t="shared" si="41"/>
        <v>0.515</v>
      </c>
      <c r="W100" s="274">
        <f>U100/V100</f>
        <v>1.1388268473889176</v>
      </c>
      <c r="X100" s="393" t="str">
        <f t="shared" si="46"/>
        <v>P &gt; puissance disponible</v>
      </c>
      <c r="Y100" s="268"/>
      <c r="Z100" s="268"/>
      <c r="AA100" s="262"/>
    </row>
    <row r="101" spans="1:27" s="260" customFormat="1" ht="12.75" hidden="1">
      <c r="A101" s="73"/>
      <c r="B101" s="354">
        <v>3600</v>
      </c>
      <c r="C101" s="337">
        <f t="shared" si="23"/>
        <v>17.64</v>
      </c>
      <c r="D101" s="338">
        <f>C101*B101</f>
        <v>63504</v>
      </c>
      <c r="E101" s="339">
        <f t="shared" si="25"/>
        <v>0.4405</v>
      </c>
      <c r="F101" s="337">
        <f t="shared" si="26"/>
        <v>1585.8</v>
      </c>
      <c r="G101" s="340">
        <f t="shared" si="27"/>
        <v>0.007197547345755411</v>
      </c>
      <c r="H101" s="340">
        <f t="shared" si="28"/>
        <v>11.41387058089893</v>
      </c>
      <c r="I101" s="355">
        <f t="shared" si="29"/>
        <v>22.18678946611023</v>
      </c>
      <c r="J101" s="356">
        <f t="shared" si="30"/>
        <v>7.22</v>
      </c>
      <c r="K101" s="337">
        <f t="shared" si="31"/>
        <v>2.2378797882013406</v>
      </c>
      <c r="L101" s="342">
        <f t="shared" si="32"/>
        <v>0.3349387564047282</v>
      </c>
      <c r="M101" s="343">
        <f t="shared" si="33"/>
        <v>14.755573793717746</v>
      </c>
      <c r="N101" s="344">
        <f t="shared" si="34"/>
        <v>22.291147587435493</v>
      </c>
      <c r="O101" s="344">
        <f t="shared" si="35"/>
        <v>91.63635611641048</v>
      </c>
      <c r="P101" s="345">
        <f t="shared" si="36"/>
        <v>10786.416734665898</v>
      </c>
      <c r="Q101" s="345">
        <f t="shared" si="37"/>
        <v>81878.85847716179</v>
      </c>
      <c r="R101" s="347">
        <f t="shared" si="43"/>
        <v>0.4893066241228754</v>
      </c>
      <c r="S101" s="348">
        <f t="shared" si="38"/>
        <v>0.18327271223282096</v>
      </c>
      <c r="T101" s="342">
        <f t="shared" si="39"/>
        <v>58854.4612193186</v>
      </c>
      <c r="U101" s="418">
        <f t="shared" si="40"/>
        <v>0.5999435394425953</v>
      </c>
      <c r="V101" s="418">
        <f t="shared" si="41"/>
        <v>0.515</v>
      </c>
      <c r="W101" s="347">
        <f>U101/V101</f>
        <v>1.1649389115390199</v>
      </c>
      <c r="X101" s="393" t="str">
        <f t="shared" si="46"/>
        <v>P &gt; puissance disponible</v>
      </c>
      <c r="Y101" s="268"/>
      <c r="Z101" s="268"/>
      <c r="AA101" s="262"/>
    </row>
    <row r="102" spans="1:27" s="260" customFormat="1" ht="12.75">
      <c r="A102" s="73"/>
      <c r="B102" s="168"/>
      <c r="C102" s="169"/>
      <c r="D102" s="168"/>
      <c r="E102" s="170"/>
      <c r="F102" s="169"/>
      <c r="G102" s="171"/>
      <c r="H102" s="171"/>
      <c r="I102" s="169"/>
      <c r="J102" s="169"/>
      <c r="K102" s="169"/>
      <c r="L102" s="177"/>
      <c r="M102" s="169"/>
      <c r="N102" s="177"/>
      <c r="O102" s="177"/>
      <c r="P102" s="165"/>
      <c r="Q102" s="165"/>
      <c r="R102" s="177"/>
      <c r="S102" s="165"/>
      <c r="T102" s="177"/>
      <c r="U102" s="165"/>
      <c r="V102" s="177"/>
      <c r="W102" s="177"/>
      <c r="X102" s="165"/>
      <c r="Y102" s="268"/>
      <c r="Z102" s="268"/>
      <c r="AA102" s="262"/>
    </row>
    <row r="103" spans="1:27" s="260" customFormat="1" ht="12.75">
      <c r="A103" s="73"/>
      <c r="B103" s="168"/>
      <c r="C103" s="169"/>
      <c r="D103" s="168"/>
      <c r="E103" s="170"/>
      <c r="F103" s="169"/>
      <c r="G103" s="171"/>
      <c r="H103" s="171"/>
      <c r="I103" s="169"/>
      <c r="J103" s="169"/>
      <c r="K103" s="169"/>
      <c r="L103" s="177"/>
      <c r="M103" s="169"/>
      <c r="N103" s="177"/>
      <c r="O103" s="177"/>
      <c r="P103" s="165"/>
      <c r="Q103" s="165"/>
      <c r="R103" s="177"/>
      <c r="S103" s="165"/>
      <c r="T103" s="177"/>
      <c r="U103" s="165"/>
      <c r="V103" s="177"/>
      <c r="W103" s="177"/>
      <c r="X103" s="165"/>
      <c r="Y103" s="268"/>
      <c r="Z103" s="268"/>
      <c r="AA103" s="262"/>
    </row>
    <row r="104" spans="1:27" s="260" customFormat="1" ht="12.75">
      <c r="A104" s="73"/>
      <c r="B104" s="168" t="s">
        <v>211</v>
      </c>
      <c r="C104" s="169"/>
      <c r="D104" s="168"/>
      <c r="E104" s="170"/>
      <c r="G104" s="171"/>
      <c r="H104" s="172" t="s">
        <v>212</v>
      </c>
      <c r="I104" s="211">
        <f>M63</f>
        <v>7.22</v>
      </c>
      <c r="J104" s="169"/>
      <c r="K104" s="169"/>
      <c r="L104" s="177"/>
      <c r="M104" s="169"/>
      <c r="N104" s="177"/>
      <c r="O104" s="177"/>
      <c r="P104" s="165"/>
      <c r="Q104" s="165"/>
      <c r="R104" s="177"/>
      <c r="S104" s="165"/>
      <c r="T104" s="177"/>
      <c r="U104" s="165"/>
      <c r="V104" s="177"/>
      <c r="W104" s="177"/>
      <c r="X104" s="165"/>
      <c r="Y104" s="268"/>
      <c r="Z104" s="268"/>
      <c r="AA104" s="262"/>
    </row>
    <row r="105" spans="1:27" s="36" customFormat="1" ht="12.75">
      <c r="A105" s="76"/>
      <c r="B105" s="214" t="s">
        <v>213</v>
      </c>
      <c r="C105" s="215">
        <v>0.94</v>
      </c>
      <c r="D105" s="214"/>
      <c r="E105" s="215"/>
      <c r="F105" s="76"/>
      <c r="G105" s="216"/>
      <c r="H105" s="76"/>
      <c r="I105" s="76" t="s">
        <v>214</v>
      </c>
      <c r="J105" s="76"/>
      <c r="K105" s="76"/>
      <c r="L105" s="177"/>
      <c r="M105" s="76"/>
      <c r="N105" s="176"/>
      <c r="O105" s="176"/>
      <c r="P105" s="76"/>
      <c r="Q105" s="203"/>
      <c r="R105" s="176"/>
      <c r="S105" s="203"/>
      <c r="T105" s="176"/>
      <c r="U105" s="203"/>
      <c r="V105" s="176"/>
      <c r="W105" s="176"/>
      <c r="X105" s="203"/>
      <c r="Y105" s="163"/>
      <c r="Z105" s="163"/>
      <c r="AA105" s="160"/>
    </row>
    <row r="106" spans="1:27" s="36" customFormat="1" ht="12.75">
      <c r="A106"/>
      <c r="B106" s="224" t="s">
        <v>168</v>
      </c>
      <c r="C106" s="225" t="s">
        <v>215</v>
      </c>
      <c r="D106" s="226" t="s">
        <v>216</v>
      </c>
      <c r="E106" s="26"/>
      <c r="F106" s="237" t="s">
        <v>203</v>
      </c>
      <c r="G106" s="26"/>
      <c r="H106" s="419" t="s">
        <v>217</v>
      </c>
      <c r="I106" s="420" t="s">
        <v>218</v>
      </c>
      <c r="L106" s="421"/>
      <c r="Q106"/>
      <c r="R106"/>
      <c r="S106" s="422"/>
      <c r="T106" s="221"/>
      <c r="U106" s="423"/>
      <c r="V106"/>
      <c r="W106" s="424"/>
      <c r="X106"/>
      <c r="Y106" s="163"/>
      <c r="Z106" s="163"/>
      <c r="AA106" s="160"/>
    </row>
    <row r="107" spans="1:27" s="36" customFormat="1" ht="12.75">
      <c r="A107"/>
      <c r="B107" s="425">
        <v>1100</v>
      </c>
      <c r="C107" s="426">
        <f>C105</f>
        <v>0.94</v>
      </c>
      <c r="D107" s="427">
        <v>21333</v>
      </c>
      <c r="E107" s="223"/>
      <c r="F107" s="428">
        <f aca="true" t="shared" si="49" ref="F107:F126">D107*0.95</f>
        <v>20266.35</v>
      </c>
      <c r="H107" s="429">
        <f aca="true" t="shared" si="50" ref="H107:H126">C77*B77</f>
        <v>19404</v>
      </c>
      <c r="I107" s="430">
        <f aca="true" t="shared" si="51" ref="I107:I126">D107*952/B107</f>
        <v>18462.741818181818</v>
      </c>
      <c r="L107" s="421"/>
      <c r="Q107"/>
      <c r="R107"/>
      <c r="S107" s="422"/>
      <c r="T107" s="221"/>
      <c r="U107" s="423"/>
      <c r="V107"/>
      <c r="W107" s="424"/>
      <c r="X107"/>
      <c r="Y107" s="163"/>
      <c r="Z107" s="163"/>
      <c r="AA107" s="160"/>
    </row>
    <row r="108" spans="1:27" s="36" customFormat="1" ht="12.75">
      <c r="A108"/>
      <c r="B108" s="431">
        <v>1200</v>
      </c>
      <c r="C108" s="426">
        <f aca="true" t="shared" si="52" ref="C108:C126">C107</f>
        <v>0.94</v>
      </c>
      <c r="D108" s="427">
        <v>24000</v>
      </c>
      <c r="E108" s="78"/>
      <c r="F108" s="428">
        <f t="shared" si="49"/>
        <v>22800</v>
      </c>
      <c r="H108" s="429">
        <f t="shared" si="50"/>
        <v>21168</v>
      </c>
      <c r="I108" s="432">
        <f t="shared" si="51"/>
        <v>19040</v>
      </c>
      <c r="L108" s="421"/>
      <c r="Q108"/>
      <c r="R108"/>
      <c r="S108" s="422"/>
      <c r="T108" s="221"/>
      <c r="U108" s="423"/>
      <c r="V108"/>
      <c r="W108" s="424"/>
      <c r="X108"/>
      <c r="Y108" s="163"/>
      <c r="Z108" s="163"/>
      <c r="AA108" s="160"/>
    </row>
    <row r="109" spans="1:27" s="36" customFormat="1" ht="12.75">
      <c r="A109"/>
      <c r="B109" s="431">
        <v>1300</v>
      </c>
      <c r="C109" s="426">
        <f t="shared" si="52"/>
        <v>0.94</v>
      </c>
      <c r="D109" s="427">
        <v>26666</v>
      </c>
      <c r="E109" s="78"/>
      <c r="F109" s="428">
        <f t="shared" si="49"/>
        <v>25332.699999999997</v>
      </c>
      <c r="H109" s="429">
        <f t="shared" si="50"/>
        <v>22932</v>
      </c>
      <c r="I109" s="432">
        <f t="shared" si="51"/>
        <v>19527.71692307692</v>
      </c>
      <c r="L109" s="421"/>
      <c r="Q109"/>
      <c r="R109"/>
      <c r="S109" s="422"/>
      <c r="T109" s="221"/>
      <c r="U109" s="423"/>
      <c r="V109"/>
      <c r="W109" s="424"/>
      <c r="X109"/>
      <c r="Y109" s="163"/>
      <c r="Z109" s="163"/>
      <c r="AA109" s="160"/>
    </row>
    <row r="110" spans="1:27" s="36" customFormat="1" ht="12.75">
      <c r="A110"/>
      <c r="B110" s="431">
        <v>1400</v>
      </c>
      <c r="C110" s="426">
        <f t="shared" si="52"/>
        <v>0.94</v>
      </c>
      <c r="D110" s="427">
        <v>29333</v>
      </c>
      <c r="E110" s="223"/>
      <c r="F110" s="428">
        <f t="shared" si="49"/>
        <v>27866.35</v>
      </c>
      <c r="H110" s="429">
        <f t="shared" si="50"/>
        <v>24696</v>
      </c>
      <c r="I110" s="432">
        <f t="shared" si="51"/>
        <v>19946.44</v>
      </c>
      <c r="M110" s="160"/>
      <c r="Q110"/>
      <c r="R110"/>
      <c r="S110" s="422"/>
      <c r="T110" s="221"/>
      <c r="U110" s="423"/>
      <c r="V110"/>
      <c r="W110" s="424"/>
      <c r="X110"/>
      <c r="Y110" s="163"/>
      <c r="Z110" s="163"/>
      <c r="AA110" s="160"/>
    </row>
    <row r="111" spans="1:27" s="36" customFormat="1" ht="12.75">
      <c r="A111"/>
      <c r="B111" s="431">
        <v>1500</v>
      </c>
      <c r="C111" s="426">
        <f t="shared" si="52"/>
        <v>0.94</v>
      </c>
      <c r="D111" s="427">
        <v>32000</v>
      </c>
      <c r="E111" s="223"/>
      <c r="F111" s="428">
        <f t="shared" si="49"/>
        <v>30400</v>
      </c>
      <c r="H111" s="429">
        <f t="shared" si="50"/>
        <v>26460</v>
      </c>
      <c r="I111" s="432">
        <f t="shared" si="51"/>
        <v>20309.333333333332</v>
      </c>
      <c r="L111" s="421"/>
      <c r="Q111"/>
      <c r="R111"/>
      <c r="S111" s="422"/>
      <c r="T111" s="221"/>
      <c r="U111" s="423"/>
      <c r="V111"/>
      <c r="W111" s="424"/>
      <c r="X111"/>
      <c r="Y111" s="163"/>
      <c r="Z111" s="163"/>
      <c r="AA111" s="160"/>
    </row>
    <row r="112" spans="1:27" s="36" customFormat="1" ht="12.75">
      <c r="A112"/>
      <c r="B112" s="431">
        <v>1600</v>
      </c>
      <c r="C112" s="426">
        <f t="shared" si="52"/>
        <v>0.94</v>
      </c>
      <c r="D112" s="427">
        <v>34666</v>
      </c>
      <c r="E112" s="223"/>
      <c r="F112" s="428">
        <f t="shared" si="49"/>
        <v>32932.7</v>
      </c>
      <c r="H112" s="429">
        <f t="shared" si="50"/>
        <v>28224</v>
      </c>
      <c r="I112" s="432">
        <f t="shared" si="51"/>
        <v>20626.27</v>
      </c>
      <c r="L112" s="421"/>
      <c r="Q112"/>
      <c r="R112"/>
      <c r="S112" s="422"/>
      <c r="T112" s="221"/>
      <c r="U112" s="423"/>
      <c r="V112"/>
      <c r="W112" s="424"/>
      <c r="X112"/>
      <c r="Y112" s="163"/>
      <c r="Z112" s="163"/>
      <c r="AA112" s="160"/>
    </row>
    <row r="113" spans="1:35" ht="12.75">
      <c r="A113"/>
      <c r="B113" s="433">
        <v>1700</v>
      </c>
      <c r="C113" s="426">
        <f t="shared" si="52"/>
        <v>0.94</v>
      </c>
      <c r="D113" s="427">
        <v>37333</v>
      </c>
      <c r="E113" s="223"/>
      <c r="F113" s="428">
        <f t="shared" si="49"/>
        <v>35466.35</v>
      </c>
      <c r="G113" s="36"/>
      <c r="H113" s="434">
        <f t="shared" si="50"/>
        <v>29988</v>
      </c>
      <c r="I113" s="432">
        <f t="shared" si="51"/>
        <v>20906.48</v>
      </c>
      <c r="J113"/>
      <c r="K113"/>
      <c r="L113" s="424"/>
      <c r="M113"/>
      <c r="N113"/>
      <c r="O113"/>
      <c r="P113"/>
      <c r="Q113"/>
      <c r="R113"/>
      <c r="S113" s="422"/>
      <c r="T113" s="221"/>
      <c r="U113" s="423"/>
      <c r="V113"/>
      <c r="W113" s="424"/>
      <c r="X113"/>
      <c r="Y113" s="163"/>
      <c r="Z113" s="163"/>
      <c r="AA113" s="160"/>
      <c r="AB113" s="36"/>
      <c r="AC113" s="36"/>
      <c r="AD113" s="36"/>
      <c r="AE113" s="36"/>
      <c r="AF113" s="36"/>
      <c r="AG113" s="36"/>
      <c r="AH113" s="36"/>
      <c r="AI113" s="36"/>
    </row>
    <row r="114" spans="1:35" ht="12.75">
      <c r="A114"/>
      <c r="B114" s="435">
        <v>1800</v>
      </c>
      <c r="C114" s="426">
        <f t="shared" si="52"/>
        <v>0.94</v>
      </c>
      <c r="D114" s="427">
        <v>40000</v>
      </c>
      <c r="E114" s="223"/>
      <c r="F114" s="428">
        <f t="shared" si="49"/>
        <v>38000</v>
      </c>
      <c r="G114" s="36"/>
      <c r="H114" s="429">
        <f t="shared" si="50"/>
        <v>31752</v>
      </c>
      <c r="I114" s="432">
        <f t="shared" si="51"/>
        <v>21155.555555555555</v>
      </c>
      <c r="J114"/>
      <c r="K114"/>
      <c r="L114" s="424"/>
      <c r="M114"/>
      <c r="N114"/>
      <c r="O114"/>
      <c r="P114"/>
      <c r="Q114"/>
      <c r="R114"/>
      <c r="S114" s="422"/>
      <c r="T114" s="221"/>
      <c r="U114" s="423"/>
      <c r="V114"/>
      <c r="W114" s="424"/>
      <c r="X114"/>
      <c r="Y114" s="163"/>
      <c r="Z114" s="163"/>
      <c r="AA114" s="160"/>
      <c r="AB114" s="36"/>
      <c r="AC114" s="36"/>
      <c r="AD114" s="36"/>
      <c r="AE114" s="36"/>
      <c r="AF114" s="436"/>
      <c r="AG114" s="36"/>
      <c r="AH114" s="36"/>
      <c r="AI114" s="36"/>
    </row>
    <row r="115" spans="1:35" ht="12.75">
      <c r="A115"/>
      <c r="B115" s="435">
        <v>1900</v>
      </c>
      <c r="C115" s="426">
        <f t="shared" si="52"/>
        <v>0.94</v>
      </c>
      <c r="D115" s="427">
        <v>42000</v>
      </c>
      <c r="E115" s="223"/>
      <c r="F115" s="428">
        <f t="shared" si="49"/>
        <v>39900</v>
      </c>
      <c r="G115" s="36"/>
      <c r="H115" s="429">
        <f t="shared" si="50"/>
        <v>33516</v>
      </c>
      <c r="I115" s="432">
        <f t="shared" si="51"/>
        <v>21044.21052631579</v>
      </c>
      <c r="J115"/>
      <c r="K115"/>
      <c r="L115" s="424"/>
      <c r="M115"/>
      <c r="N115"/>
      <c r="O115"/>
      <c r="P115"/>
      <c r="Q115"/>
      <c r="R115"/>
      <c r="S115" s="422"/>
      <c r="T115" s="221"/>
      <c r="U115" s="423"/>
      <c r="V115"/>
      <c r="W115" s="424"/>
      <c r="X115"/>
      <c r="Y115" s="163"/>
      <c r="Z115" s="163"/>
      <c r="AA115" s="160"/>
      <c r="AB115" s="36"/>
      <c r="AC115" s="36"/>
      <c r="AD115" s="36"/>
      <c r="AE115" s="36"/>
      <c r="AF115" s="36"/>
      <c r="AG115" s="36"/>
      <c r="AH115" s="36"/>
      <c r="AI115" s="36"/>
    </row>
    <row r="116" spans="1:35" ht="12.75">
      <c r="A116"/>
      <c r="B116" s="433">
        <v>2000</v>
      </c>
      <c r="C116" s="426">
        <f t="shared" si="52"/>
        <v>0.94</v>
      </c>
      <c r="D116" s="427">
        <v>44200</v>
      </c>
      <c r="E116" s="223"/>
      <c r="F116" s="428">
        <f t="shared" si="49"/>
        <v>41990</v>
      </c>
      <c r="G116" s="36"/>
      <c r="H116" s="429">
        <f t="shared" si="50"/>
        <v>35280</v>
      </c>
      <c r="I116" s="432">
        <f t="shared" si="51"/>
        <v>21039.2</v>
      </c>
      <c r="J116"/>
      <c r="K116"/>
      <c r="L116" s="424"/>
      <c r="M116"/>
      <c r="N116"/>
      <c r="O116"/>
      <c r="P116"/>
      <c r="Q116"/>
      <c r="R116"/>
      <c r="S116" s="422"/>
      <c r="T116" s="221"/>
      <c r="U116" s="423"/>
      <c r="V116"/>
      <c r="W116" s="424"/>
      <c r="X116"/>
      <c r="Y116" s="163"/>
      <c r="Z116" s="163"/>
      <c r="AA116" s="160"/>
      <c r="AB116" s="36"/>
      <c r="AC116" s="36"/>
      <c r="AD116" s="36"/>
      <c r="AE116" s="36"/>
      <c r="AF116" s="36"/>
      <c r="AG116" s="36"/>
      <c r="AH116" s="36"/>
      <c r="AI116" s="36"/>
    </row>
    <row r="117" spans="1:35" ht="12.75">
      <c r="A117"/>
      <c r="B117" s="433">
        <v>2100</v>
      </c>
      <c r="C117" s="426">
        <f t="shared" si="52"/>
        <v>0.94</v>
      </c>
      <c r="D117" s="427">
        <v>46000</v>
      </c>
      <c r="E117" s="223"/>
      <c r="F117" s="428">
        <f t="shared" si="49"/>
        <v>43700</v>
      </c>
      <c r="G117" s="36"/>
      <c r="H117" s="429">
        <f t="shared" si="50"/>
        <v>37044</v>
      </c>
      <c r="I117" s="432">
        <f t="shared" si="51"/>
        <v>20853.333333333332</v>
      </c>
      <c r="J117"/>
      <c r="K117"/>
      <c r="L117" s="424"/>
      <c r="M117"/>
      <c r="N117"/>
      <c r="O117"/>
      <c r="P117"/>
      <c r="Q117"/>
      <c r="R117"/>
      <c r="S117" s="422"/>
      <c r="T117" s="221"/>
      <c r="U117" s="423"/>
      <c r="V117"/>
      <c r="W117" s="424"/>
      <c r="X117"/>
      <c r="Y117" s="163"/>
      <c r="Z117" s="163"/>
      <c r="AA117" s="160"/>
      <c r="AB117" s="36"/>
      <c r="AC117" s="36"/>
      <c r="AD117" s="36"/>
      <c r="AE117" s="36"/>
      <c r="AF117" s="36"/>
      <c r="AG117" s="36"/>
      <c r="AH117" s="36"/>
      <c r="AI117" s="36"/>
    </row>
    <row r="118" spans="1:35" ht="12.75">
      <c r="A118"/>
      <c r="B118" s="433">
        <v>2200</v>
      </c>
      <c r="C118" s="426">
        <f t="shared" si="52"/>
        <v>0.94</v>
      </c>
      <c r="D118" s="427">
        <v>48000</v>
      </c>
      <c r="E118" s="223"/>
      <c r="F118" s="428">
        <f t="shared" si="49"/>
        <v>45600</v>
      </c>
      <c r="G118" s="36"/>
      <c r="H118" s="429">
        <f t="shared" si="50"/>
        <v>38808</v>
      </c>
      <c r="I118" s="432">
        <f t="shared" si="51"/>
        <v>20770.909090909092</v>
      </c>
      <c r="J118"/>
      <c r="K118"/>
      <c r="L118" s="424"/>
      <c r="M118"/>
      <c r="N118"/>
      <c r="O118"/>
      <c r="P118"/>
      <c r="Q118"/>
      <c r="R118"/>
      <c r="S118" s="422"/>
      <c r="T118" s="221"/>
      <c r="U118" s="423"/>
      <c r="V118"/>
      <c r="W118" s="424"/>
      <c r="X118"/>
      <c r="Y118" s="163"/>
      <c r="Z118" s="163"/>
      <c r="AA118" s="160"/>
      <c r="AB118" s="36"/>
      <c r="AC118" s="36"/>
      <c r="AD118" s="36"/>
      <c r="AE118" s="36"/>
      <c r="AF118" s="36"/>
      <c r="AG118" s="36"/>
      <c r="AH118" s="36"/>
      <c r="AI118" s="36"/>
    </row>
    <row r="119" spans="1:35" ht="12.75">
      <c r="A119"/>
      <c r="B119" s="433">
        <v>2300</v>
      </c>
      <c r="C119" s="426">
        <f t="shared" si="52"/>
        <v>0.94</v>
      </c>
      <c r="D119" s="427">
        <v>49500</v>
      </c>
      <c r="E119" s="223"/>
      <c r="F119" s="428">
        <f t="shared" si="49"/>
        <v>47025</v>
      </c>
      <c r="G119" s="36"/>
      <c r="H119" s="429">
        <f t="shared" si="50"/>
        <v>40572</v>
      </c>
      <c r="I119" s="432">
        <f t="shared" si="51"/>
        <v>20488.695652173912</v>
      </c>
      <c r="J119"/>
      <c r="K119"/>
      <c r="L119" s="424"/>
      <c r="M119"/>
      <c r="N119"/>
      <c r="O119"/>
      <c r="P119"/>
      <c r="Q119"/>
      <c r="R119"/>
      <c r="S119" s="422"/>
      <c r="T119" s="221"/>
      <c r="U119" s="423"/>
      <c r="V119"/>
      <c r="W119" s="424"/>
      <c r="X119"/>
      <c r="Y119" s="163"/>
      <c r="Z119" s="163"/>
      <c r="AA119" s="160"/>
      <c r="AB119" s="36"/>
      <c r="AC119" s="36"/>
      <c r="AD119" s="36"/>
      <c r="AE119" s="36"/>
      <c r="AF119" s="36"/>
      <c r="AG119" s="36"/>
      <c r="AH119" s="36"/>
      <c r="AI119" s="36"/>
    </row>
    <row r="120" spans="1:35" ht="12.75">
      <c r="A120"/>
      <c r="B120" s="433">
        <v>2400</v>
      </c>
      <c r="C120" s="426">
        <f t="shared" si="52"/>
        <v>0.94</v>
      </c>
      <c r="D120" s="427">
        <v>51000</v>
      </c>
      <c r="E120" s="223"/>
      <c r="F120" s="428">
        <f t="shared" si="49"/>
        <v>48450</v>
      </c>
      <c r="G120" s="36"/>
      <c r="H120" s="429">
        <f t="shared" si="50"/>
        <v>42336</v>
      </c>
      <c r="I120" s="432">
        <f t="shared" si="51"/>
        <v>20230</v>
      </c>
      <c r="J120"/>
      <c r="K120"/>
      <c r="L120" s="424"/>
      <c r="M120"/>
      <c r="N120"/>
      <c r="O120"/>
      <c r="P120"/>
      <c r="Q120"/>
      <c r="R120"/>
      <c r="S120" s="422"/>
      <c r="T120" s="221"/>
      <c r="U120" s="423"/>
      <c r="V120"/>
      <c r="W120" s="424"/>
      <c r="X120"/>
      <c r="Y120" s="163"/>
      <c r="Z120" s="163"/>
      <c r="AA120" s="160"/>
      <c r="AB120" s="36"/>
      <c r="AC120" s="36"/>
      <c r="AD120" s="36"/>
      <c r="AE120" s="36"/>
      <c r="AF120" s="36"/>
      <c r="AG120" s="36"/>
      <c r="AH120" s="36"/>
      <c r="AI120" s="36"/>
    </row>
    <row r="121" spans="1:35" s="73" customFormat="1" ht="12.75">
      <c r="A121"/>
      <c r="B121" s="437">
        <v>2500</v>
      </c>
      <c r="C121" s="426">
        <f t="shared" si="52"/>
        <v>0.94</v>
      </c>
      <c r="D121" s="427">
        <v>52500</v>
      </c>
      <c r="E121" s="223"/>
      <c r="F121" s="428">
        <f t="shared" si="49"/>
        <v>49875</v>
      </c>
      <c r="G121" s="36"/>
      <c r="H121" s="429">
        <f t="shared" si="50"/>
        <v>44100</v>
      </c>
      <c r="I121" s="432">
        <f t="shared" si="51"/>
        <v>19992</v>
      </c>
      <c r="J121"/>
      <c r="K121"/>
      <c r="L121" s="424"/>
      <c r="M121"/>
      <c r="N121"/>
      <c r="O121"/>
      <c r="P121"/>
      <c r="Q121"/>
      <c r="R121"/>
      <c r="S121" s="422"/>
      <c r="T121" s="221"/>
      <c r="U121" s="423"/>
      <c r="V121"/>
      <c r="W121" s="424"/>
      <c r="X121"/>
      <c r="Y121" s="177"/>
      <c r="Z121" s="177"/>
      <c r="AA121" s="169"/>
      <c r="AB121" s="165"/>
      <c r="AC121" s="165"/>
      <c r="AD121" s="165"/>
      <c r="AE121" s="165"/>
      <c r="AF121" s="165"/>
      <c r="AG121" s="165"/>
      <c r="AH121" s="165"/>
      <c r="AI121" s="165"/>
    </row>
    <row r="122" spans="2:9" ht="12.75">
      <c r="B122" s="437">
        <v>2600</v>
      </c>
      <c r="C122" s="426">
        <f t="shared" si="52"/>
        <v>0.94</v>
      </c>
      <c r="D122" s="427">
        <v>53600</v>
      </c>
      <c r="E122" s="438"/>
      <c r="F122" s="428">
        <f t="shared" si="49"/>
        <v>50920</v>
      </c>
      <c r="H122" s="429">
        <f t="shared" si="50"/>
        <v>45864</v>
      </c>
      <c r="I122" s="432">
        <f t="shared" si="51"/>
        <v>19625.846153846152</v>
      </c>
    </row>
    <row r="123" spans="2:9" ht="12.75">
      <c r="B123" s="437">
        <v>2700</v>
      </c>
      <c r="C123" s="426">
        <f t="shared" si="52"/>
        <v>0.94</v>
      </c>
      <c r="D123" s="427">
        <v>54500</v>
      </c>
      <c r="E123" s="438"/>
      <c r="F123" s="428">
        <f t="shared" si="49"/>
        <v>51775</v>
      </c>
      <c r="H123" s="429">
        <f t="shared" si="50"/>
        <v>47628</v>
      </c>
      <c r="I123" s="432">
        <f t="shared" si="51"/>
        <v>19216.296296296296</v>
      </c>
    </row>
    <row r="124" spans="2:9" ht="12.75">
      <c r="B124" s="437">
        <v>2800</v>
      </c>
      <c r="C124" s="426">
        <f t="shared" si="52"/>
        <v>0.94</v>
      </c>
      <c r="D124" s="427">
        <v>55000</v>
      </c>
      <c r="E124" s="438"/>
      <c r="F124" s="428">
        <f t="shared" si="49"/>
        <v>52250</v>
      </c>
      <c r="H124" s="429">
        <f t="shared" si="50"/>
        <v>49392</v>
      </c>
      <c r="I124" s="432">
        <f t="shared" si="51"/>
        <v>18700</v>
      </c>
    </row>
    <row r="125" spans="2:9" ht="12.75">
      <c r="B125" s="437">
        <v>2900</v>
      </c>
      <c r="C125" s="426">
        <f t="shared" si="52"/>
        <v>0.94</v>
      </c>
      <c r="D125" s="427">
        <v>55000</v>
      </c>
      <c r="E125" s="438"/>
      <c r="F125" s="428">
        <f t="shared" si="49"/>
        <v>52250</v>
      </c>
      <c r="H125" s="429">
        <f t="shared" si="50"/>
        <v>51156</v>
      </c>
      <c r="I125" s="432">
        <f t="shared" si="51"/>
        <v>18055.172413793105</v>
      </c>
    </row>
    <row r="126" spans="2:9" ht="12.75">
      <c r="B126" s="439">
        <v>3000</v>
      </c>
      <c r="C126" s="440">
        <f t="shared" si="52"/>
        <v>0.94</v>
      </c>
      <c r="D126" s="441">
        <v>55000</v>
      </c>
      <c r="E126" s="442"/>
      <c r="F126" s="443">
        <f t="shared" si="49"/>
        <v>52250</v>
      </c>
      <c r="G126" s="444"/>
      <c r="H126" s="445">
        <f t="shared" si="50"/>
        <v>52920</v>
      </c>
      <c r="I126" s="446">
        <f t="shared" si="51"/>
        <v>17453.333333333332</v>
      </c>
    </row>
  </sheetData>
  <sheetProtection sheet="1" objects="1" scenarios="1"/>
  <hyperlinks>
    <hyperlink ref="Q59" r:id="rId1" display="avec Sh / S = fa / f = 0,515 ( fa / f : doc. Radice Hélice type E13)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X19"/>
  <sheetViews>
    <sheetView workbookViewId="0" topLeftCell="A1">
      <selection activeCell="B1" sqref="B1"/>
    </sheetView>
  </sheetViews>
  <sheetFormatPr defaultColWidth="11.421875" defaultRowHeight="12.75"/>
  <cols>
    <col min="21" max="21" width="11.421875" style="447" customWidth="1"/>
  </cols>
  <sheetData>
    <row r="1" ht="18">
      <c r="B1" s="448" t="s">
        <v>219</v>
      </c>
    </row>
    <row r="4" ht="12.75">
      <c r="S4" s="21" t="s">
        <v>220</v>
      </c>
    </row>
    <row r="5" spans="19:22" ht="12.75">
      <c r="S5" s="21" t="s">
        <v>221</v>
      </c>
      <c r="T5" s="21"/>
      <c r="U5" s="449"/>
      <c r="V5" s="21"/>
    </row>
    <row r="6" spans="19:24" ht="12.75">
      <c r="S6" s="21" t="s">
        <v>222</v>
      </c>
      <c r="T6" s="21"/>
      <c r="U6" s="449"/>
      <c r="V6" s="21"/>
      <c r="W6" s="450" t="s">
        <v>223</v>
      </c>
      <c r="X6" s="21" t="s">
        <v>224</v>
      </c>
    </row>
    <row r="7" spans="20:24" ht="12.75">
      <c r="T7" s="451" t="s">
        <v>225</v>
      </c>
      <c r="V7" s="452"/>
      <c r="W7" s="453" t="s">
        <v>225</v>
      </c>
      <c r="X7" s="454"/>
    </row>
    <row r="8" spans="19:24" ht="12.75">
      <c r="S8" s="455"/>
      <c r="T8" s="238" t="s">
        <v>226</v>
      </c>
      <c r="U8" s="456"/>
      <c r="V8" s="457" t="s">
        <v>227</v>
      </c>
      <c r="W8" s="457" t="s">
        <v>227</v>
      </c>
      <c r="X8" s="458" t="s">
        <v>228</v>
      </c>
    </row>
    <row r="9" spans="12:24" ht="12.75">
      <c r="L9">
        <v>10</v>
      </c>
      <c r="S9" s="455" t="s">
        <v>229</v>
      </c>
      <c r="T9" s="459" t="s">
        <v>228</v>
      </c>
      <c r="U9" s="456" t="s">
        <v>230</v>
      </c>
      <c r="V9" s="460" t="s">
        <v>231</v>
      </c>
      <c r="W9" s="460" t="s">
        <v>232</v>
      </c>
      <c r="X9" s="461" t="s">
        <v>233</v>
      </c>
    </row>
    <row r="10" spans="1:24" ht="12.75">
      <c r="A10" s="462">
        <v>1200</v>
      </c>
      <c r="B10" s="463">
        <v>1.2</v>
      </c>
      <c r="C10" s="221">
        <f aca="true" t="shared" si="0" ref="C10:C19">1+4*(A10-1200)/(3000-1200)</f>
        <v>1</v>
      </c>
      <c r="D10" s="221">
        <f aca="true" t="shared" si="1" ref="D10:R10">C10+C10*C10/100</f>
        <v>1.01</v>
      </c>
      <c r="E10" s="221">
        <f t="shared" si="1"/>
        <v>1.020201</v>
      </c>
      <c r="F10" s="221">
        <f t="shared" si="1"/>
        <v>1.03060910080401</v>
      </c>
      <c r="G10" s="221">
        <f t="shared" si="1"/>
        <v>1.0412306519906105</v>
      </c>
      <c r="H10" s="221">
        <f t="shared" si="1"/>
        <v>1.0520722646970584</v>
      </c>
      <c r="I10" s="221">
        <f t="shared" si="1"/>
        <v>1.0631408251985064</v>
      </c>
      <c r="J10" s="221">
        <f t="shared" si="1"/>
        <v>1.074443509340544</v>
      </c>
      <c r="K10" s="221">
        <f t="shared" si="1"/>
        <v>1.0859877978881842</v>
      </c>
      <c r="L10" s="221">
        <f t="shared" si="1"/>
        <v>1.0977814928598044</v>
      </c>
      <c r="M10" s="221">
        <f t="shared" si="1"/>
        <v>1.1098327349204595</v>
      </c>
      <c r="N10" s="221">
        <f t="shared" si="1"/>
        <v>1.1221500219154699</v>
      </c>
      <c r="O10" s="221">
        <f t="shared" si="1"/>
        <v>1.1347422286323188</v>
      </c>
      <c r="P10" s="221">
        <f t="shared" si="1"/>
        <v>1.1476186278867333</v>
      </c>
      <c r="Q10" s="221">
        <f t="shared" si="1"/>
        <v>1.1607889130374596</v>
      </c>
      <c r="R10" s="221">
        <f t="shared" si="1"/>
        <v>1.1742632220437665</v>
      </c>
      <c r="S10" s="464">
        <f aca="true" t="shared" si="2" ref="S10:S19">R10+R10*R10/150</f>
        <v>1.1834558494747307</v>
      </c>
      <c r="T10" s="465">
        <v>1.2</v>
      </c>
      <c r="U10" s="466">
        <f aca="true" t="shared" si="3" ref="U10:U19">W10/4.66</f>
        <v>1.1766309012875538</v>
      </c>
      <c r="V10" s="467">
        <v>7.46</v>
      </c>
      <c r="W10" s="468">
        <f aca="true" t="shared" si="4" ref="W10:W19">V10*0.735</f>
        <v>5.4831</v>
      </c>
      <c r="X10" s="469">
        <v>1200</v>
      </c>
    </row>
    <row r="11" spans="1:24" ht="12.75">
      <c r="A11" s="462">
        <v>1400</v>
      </c>
      <c r="B11" s="463">
        <v>1.8</v>
      </c>
      <c r="C11" s="221">
        <f t="shared" si="0"/>
        <v>1.4444444444444444</v>
      </c>
      <c r="D11" s="221">
        <f aca="true" t="shared" si="5" ref="D11:R11">C11+C11*C11/100</f>
        <v>1.4653086419753085</v>
      </c>
      <c r="E11" s="221">
        <f t="shared" si="5"/>
        <v>1.4867799361377838</v>
      </c>
      <c r="F11" s="221">
        <f t="shared" si="5"/>
        <v>1.5088850819228026</v>
      </c>
      <c r="G11" s="221">
        <f t="shared" si="5"/>
        <v>1.5316524238272944</v>
      </c>
      <c r="H11" s="221">
        <f t="shared" si="5"/>
        <v>1.5551120153014546</v>
      </c>
      <c r="I11" s="221">
        <f t="shared" si="5"/>
        <v>1.5792957491028041</v>
      </c>
      <c r="J11" s="221">
        <f t="shared" si="5"/>
        <v>1.604237499734146</v>
      </c>
      <c r="K11" s="221">
        <f t="shared" si="5"/>
        <v>1.6299732792896786</v>
      </c>
      <c r="L11" s="221">
        <f t="shared" si="5"/>
        <v>1.656541408201662</v>
      </c>
      <c r="M11" s="221">
        <f t="shared" si="5"/>
        <v>1.6839827025725296</v>
      </c>
      <c r="N11" s="221">
        <f t="shared" si="5"/>
        <v>1.7123406799981644</v>
      </c>
      <c r="O11" s="221">
        <f t="shared" si="5"/>
        <v>1.7416617860419301</v>
      </c>
      <c r="P11" s="221">
        <f t="shared" si="5"/>
        <v>1.7719956438115179</v>
      </c>
      <c r="Q11" s="221">
        <f t="shared" si="5"/>
        <v>1.8033953294283878</v>
      </c>
      <c r="R11" s="221">
        <f t="shared" si="5"/>
        <v>1.835917676570429</v>
      </c>
      <c r="S11" s="470">
        <f t="shared" si="2"/>
        <v>1.8583883013380542</v>
      </c>
      <c r="T11" s="471">
        <v>1.8</v>
      </c>
      <c r="U11" s="472">
        <f t="shared" si="3"/>
        <v>1.7933369098712444</v>
      </c>
      <c r="V11" s="473">
        <v>11.37</v>
      </c>
      <c r="W11" s="468">
        <f t="shared" si="4"/>
        <v>8.35695</v>
      </c>
      <c r="X11" s="474">
        <v>1400</v>
      </c>
    </row>
    <row r="12" spans="1:24" ht="12.75">
      <c r="A12" s="462">
        <v>1600</v>
      </c>
      <c r="B12" s="463">
        <v>2.6</v>
      </c>
      <c r="C12" s="221">
        <f t="shared" si="0"/>
        <v>1.8888888888888888</v>
      </c>
      <c r="D12" s="221">
        <f aca="true" t="shared" si="6" ref="D12:R12">C12+C12*C12/100</f>
        <v>1.9245679012345678</v>
      </c>
      <c r="E12" s="221">
        <f t="shared" si="6"/>
        <v>1.961607517299192</v>
      </c>
      <c r="F12" s="221">
        <f t="shared" si="6"/>
        <v>2.000086557818439</v>
      </c>
      <c r="G12" s="221">
        <f t="shared" si="6"/>
        <v>2.040090020206099</v>
      </c>
      <c r="H12" s="221">
        <f t="shared" si="6"/>
        <v>2.0817096931115446</v>
      </c>
      <c r="I12" s="221">
        <f t="shared" si="6"/>
        <v>2.1250448455754904</v>
      </c>
      <c r="J12" s="221">
        <f t="shared" si="6"/>
        <v>2.17020300153256</v>
      </c>
      <c r="K12" s="221">
        <f t="shared" si="6"/>
        <v>2.2173008122111697</v>
      </c>
      <c r="L12" s="221">
        <f t="shared" si="6"/>
        <v>2.266465041129493</v>
      </c>
      <c r="M12" s="221">
        <f t="shared" si="6"/>
        <v>2.317833678956114</v>
      </c>
      <c r="N12" s="221">
        <f t="shared" si="6"/>
        <v>2.371557208589146</v>
      </c>
      <c r="O12" s="221">
        <f t="shared" si="6"/>
        <v>2.4278000445252577</v>
      </c>
      <c r="P12" s="221">
        <f t="shared" si="6"/>
        <v>2.486742175087226</v>
      </c>
      <c r="Q12" s="221">
        <f t="shared" si="6"/>
        <v>2.5485810415408015</v>
      </c>
      <c r="R12" s="221">
        <f t="shared" si="6"/>
        <v>2.6135336947938135</v>
      </c>
      <c r="S12" s="470">
        <f t="shared" si="2"/>
        <v>2.6590707506192977</v>
      </c>
      <c r="T12" s="471">
        <v>2.6</v>
      </c>
      <c r="U12" s="472">
        <f t="shared" si="3"/>
        <v>2.441587982832618</v>
      </c>
      <c r="V12" s="473">
        <v>15.48</v>
      </c>
      <c r="W12" s="468">
        <f t="shared" si="4"/>
        <v>11.3778</v>
      </c>
      <c r="X12" s="474">
        <v>1600</v>
      </c>
    </row>
    <row r="13" spans="1:24" ht="12.75">
      <c r="A13" s="462">
        <v>1800</v>
      </c>
      <c r="B13" s="463">
        <v>3.5</v>
      </c>
      <c r="C13" s="221">
        <f t="shared" si="0"/>
        <v>2.333333333333333</v>
      </c>
      <c r="D13" s="221">
        <f aca="true" t="shared" si="7" ref="D13:R13">C13+C13*C13/100</f>
        <v>2.3877777777777776</v>
      </c>
      <c r="E13" s="221">
        <f t="shared" si="7"/>
        <v>2.4447926049382716</v>
      </c>
      <c r="F13" s="221">
        <f t="shared" si="7"/>
        <v>2.50456271374988</v>
      </c>
      <c r="G13" s="221">
        <f t="shared" si="7"/>
        <v>2.567291057620942</v>
      </c>
      <c r="H13" s="221">
        <f t="shared" si="7"/>
        <v>2.6332008913663465</v>
      </c>
      <c r="I13" s="221">
        <f t="shared" si="7"/>
        <v>2.702538360709272</v>
      </c>
      <c r="J13" s="221">
        <f t="shared" si="7"/>
        <v>2.7755754966203234</v>
      </c>
      <c r="K13" s="221">
        <f t="shared" si="7"/>
        <v>2.852613689994715</v>
      </c>
      <c r="L13" s="221">
        <f t="shared" si="7"/>
        <v>2.9339877386381676</v>
      </c>
      <c r="M13" s="221">
        <f t="shared" si="7"/>
        <v>3.0200705791429585</v>
      </c>
      <c r="N13" s="221">
        <f t="shared" si="7"/>
        <v>3.1112788421730073</v>
      </c>
      <c r="O13" s="221">
        <f t="shared" si="7"/>
        <v>3.2080794025105415</v>
      </c>
      <c r="P13" s="221">
        <f t="shared" si="7"/>
        <v>3.3109971370386653</v>
      </c>
      <c r="Q13" s="221">
        <f t="shared" si="7"/>
        <v>3.4206241574534477</v>
      </c>
      <c r="R13" s="221">
        <f t="shared" si="7"/>
        <v>3.537630853718989</v>
      </c>
      <c r="S13" s="470">
        <f t="shared" si="2"/>
        <v>3.6210630674335524</v>
      </c>
      <c r="T13" s="471">
        <v>3.5</v>
      </c>
      <c r="U13" s="472">
        <f t="shared" si="3"/>
        <v>3.499924892703863</v>
      </c>
      <c r="V13" s="473">
        <v>22.19</v>
      </c>
      <c r="W13" s="468">
        <f t="shared" si="4"/>
        <v>16.30965</v>
      </c>
      <c r="X13" s="474">
        <v>1800</v>
      </c>
    </row>
    <row r="14" spans="1:24" ht="12.75">
      <c r="A14" s="462">
        <v>2000</v>
      </c>
      <c r="B14" s="463">
        <v>4.8</v>
      </c>
      <c r="C14" s="221">
        <f t="shared" si="0"/>
        <v>2.7777777777777777</v>
      </c>
      <c r="D14" s="221">
        <f aca="true" t="shared" si="8" ref="D14:R14">C14+C14*C14/100</f>
        <v>2.8549382716049383</v>
      </c>
      <c r="E14" s="221">
        <f t="shared" si="8"/>
        <v>2.936444996951684</v>
      </c>
      <c r="F14" s="221">
        <f t="shared" si="8"/>
        <v>3.02267208915291</v>
      </c>
      <c r="G14" s="221">
        <f t="shared" si="8"/>
        <v>3.11403755473835</v>
      </c>
      <c r="H14" s="221">
        <f t="shared" si="8"/>
        <v>3.211009853661558</v>
      </c>
      <c r="I14" s="221">
        <f t="shared" si="8"/>
        <v>3.3141156964646745</v>
      </c>
      <c r="J14" s="221">
        <f t="shared" si="8"/>
        <v>3.4239493249602098</v>
      </c>
      <c r="K14" s="221">
        <f t="shared" si="8"/>
        <v>3.5411836147591647</v>
      </c>
      <c r="L14" s="221">
        <f t="shared" si="8"/>
        <v>3.6665834286935524</v>
      </c>
      <c r="M14" s="221">
        <f t="shared" si="8"/>
        <v>3.801021769089254</v>
      </c>
      <c r="N14" s="221">
        <f t="shared" si="8"/>
        <v>3.945499433980158</v>
      </c>
      <c r="O14" s="221">
        <f t="shared" si="8"/>
        <v>4.101169091815535</v>
      </c>
      <c r="P14" s="221">
        <f t="shared" si="8"/>
        <v>4.269364971012166</v>
      </c>
      <c r="Q14" s="221">
        <f t="shared" si="8"/>
        <v>4.451639743569223</v>
      </c>
      <c r="R14" s="221">
        <f t="shared" si="8"/>
        <v>4.649810707634474</v>
      </c>
      <c r="S14" s="470">
        <f t="shared" si="2"/>
        <v>4.793948971746689</v>
      </c>
      <c r="T14" s="471">
        <v>4.8</v>
      </c>
      <c r="U14" s="472">
        <f t="shared" si="3"/>
        <v>4.706523605150215</v>
      </c>
      <c r="V14" s="473">
        <v>29.84</v>
      </c>
      <c r="W14" s="468">
        <f t="shared" si="4"/>
        <v>21.9324</v>
      </c>
      <c r="X14" s="474">
        <v>2000</v>
      </c>
    </row>
    <row r="15" spans="1:24" ht="12.75">
      <c r="A15" s="462">
        <v>2200</v>
      </c>
      <c r="B15" s="463">
        <v>6.3</v>
      </c>
      <c r="C15" s="221">
        <f t="shared" si="0"/>
        <v>3.2222222222222223</v>
      </c>
      <c r="D15" s="221">
        <f aca="true" t="shared" si="9" ref="D15:R15">C15+C15*C15/100</f>
        <v>3.3260493827160493</v>
      </c>
      <c r="E15" s="221">
        <f t="shared" si="9"/>
        <v>3.4366754276787073</v>
      </c>
      <c r="F15" s="221">
        <f t="shared" si="9"/>
        <v>3.5547828076308137</v>
      </c>
      <c r="G15" s="221">
        <f t="shared" si="9"/>
        <v>3.6811476157250898</v>
      </c>
      <c r="H15" s="221">
        <f t="shared" si="9"/>
        <v>3.816656093412675</v>
      </c>
      <c r="I15" s="221">
        <f t="shared" si="9"/>
        <v>3.962324730766516</v>
      </c>
      <c r="J15" s="221">
        <f t="shared" si="9"/>
        <v>4.119324903486955</v>
      </c>
      <c r="K15" s="221">
        <f t="shared" si="9"/>
        <v>4.289013280091833</v>
      </c>
      <c r="L15" s="221">
        <f t="shared" si="9"/>
        <v>4.472969629259874</v>
      </c>
      <c r="M15" s="221">
        <f t="shared" si="9"/>
        <v>4.673044202302687</v>
      </c>
      <c r="N15" s="221">
        <f t="shared" si="9"/>
        <v>4.891417623469434</v>
      </c>
      <c r="O15" s="221">
        <f t="shared" si="9"/>
        <v>5.1306772871413076</v>
      </c>
      <c r="P15" s="221">
        <f t="shared" si="9"/>
        <v>5.393915781389184</v>
      </c>
      <c r="Q15" s="221">
        <f t="shared" si="9"/>
        <v>5.684859055956377</v>
      </c>
      <c r="R15" s="221">
        <f t="shared" si="9"/>
        <v>6.0080352808172695</v>
      </c>
      <c r="S15" s="470">
        <f t="shared" si="2"/>
        <v>6.248678533720903</v>
      </c>
      <c r="T15" s="471">
        <v>6.3</v>
      </c>
      <c r="U15" s="472">
        <f t="shared" si="3"/>
        <v>6.176523605150214</v>
      </c>
      <c r="V15" s="473">
        <v>39.16</v>
      </c>
      <c r="W15" s="468">
        <f t="shared" si="4"/>
        <v>28.7826</v>
      </c>
      <c r="X15" s="474">
        <v>2200</v>
      </c>
    </row>
    <row r="16" spans="1:24" ht="12.75">
      <c r="A16" s="462">
        <v>2400</v>
      </c>
      <c r="B16" s="463">
        <v>8</v>
      </c>
      <c r="C16" s="221">
        <f t="shared" si="0"/>
        <v>3.6666666666666665</v>
      </c>
      <c r="D16" s="221">
        <f aca="true" t="shared" si="10" ref="D16:R16">C16+C16*C16/100</f>
        <v>3.801111111111111</v>
      </c>
      <c r="E16" s="221">
        <f t="shared" si="10"/>
        <v>3.9455955679012344</v>
      </c>
      <c r="F16" s="221">
        <f t="shared" si="10"/>
        <v>4.101272811755653</v>
      </c>
      <c r="G16" s="221">
        <f t="shared" si="10"/>
        <v>4.269477198520114</v>
      </c>
      <c r="H16" s="221">
        <f t="shared" si="10"/>
        <v>4.4517615540069455</v>
      </c>
      <c r="I16" s="221">
        <f t="shared" si="10"/>
        <v>4.649943363344289</v>
      </c>
      <c r="J16" s="221">
        <f t="shared" si="10"/>
        <v>4.866163096167385</v>
      </c>
      <c r="K16" s="221">
        <f t="shared" si="10"/>
        <v>5.102958528952399</v>
      </c>
      <c r="L16" s="221">
        <f t="shared" si="10"/>
        <v>5.363360386434479</v>
      </c>
      <c r="M16" s="221">
        <f t="shared" si="10"/>
        <v>5.651016732782225</v>
      </c>
      <c r="N16" s="221">
        <f t="shared" si="10"/>
        <v>5.970356633924072</v>
      </c>
      <c r="O16" s="221">
        <f t="shared" si="10"/>
        <v>6.326808217286484</v>
      </c>
      <c r="P16" s="221">
        <f t="shared" si="10"/>
        <v>6.727093239469721</v>
      </c>
      <c r="Q16" s="221">
        <f t="shared" si="10"/>
        <v>7.179631073994914</v>
      </c>
      <c r="R16" s="221">
        <f t="shared" si="10"/>
        <v>7.695102097581647</v>
      </c>
      <c r="S16" s="470">
        <f t="shared" si="2"/>
        <v>8.089866072863018</v>
      </c>
      <c r="T16" s="471">
        <v>8</v>
      </c>
      <c r="U16" s="472">
        <f t="shared" si="3"/>
        <v>7.941469957081544</v>
      </c>
      <c r="V16" s="473">
        <v>50.35</v>
      </c>
      <c r="W16" s="468">
        <f t="shared" si="4"/>
        <v>37.00725</v>
      </c>
      <c r="X16" s="474">
        <v>2400</v>
      </c>
    </row>
    <row r="17" spans="1:24" ht="12.75">
      <c r="A17" s="462">
        <v>2600</v>
      </c>
      <c r="B17" s="463">
        <v>10.2</v>
      </c>
      <c r="C17" s="221">
        <f t="shared" si="0"/>
        <v>4.111111111111111</v>
      </c>
      <c r="D17" s="221">
        <f aca="true" t="shared" si="11" ref="D17:R17">C17+C17*C17/100</f>
        <v>4.280123456790123</v>
      </c>
      <c r="E17" s="221">
        <f t="shared" si="11"/>
        <v>4.463318024843773</v>
      </c>
      <c r="F17" s="221">
        <f t="shared" si="11"/>
        <v>4.662530102752727</v>
      </c>
      <c r="G17" s="221">
        <f t="shared" si="11"/>
        <v>4.87992197234348</v>
      </c>
      <c r="H17" s="221">
        <f t="shared" si="11"/>
        <v>5.118058356905086</v>
      </c>
      <c r="I17" s="221">
        <f t="shared" si="11"/>
        <v>5.380003570351946</v>
      </c>
      <c r="J17" s="221">
        <f t="shared" si="11"/>
        <v>5.669447954521943</v>
      </c>
      <c r="K17" s="221">
        <f t="shared" si="11"/>
        <v>5.990874355612274</v>
      </c>
      <c r="L17" s="221">
        <f t="shared" si="11"/>
        <v>6.3497801110596015</v>
      </c>
      <c r="M17" s="221">
        <f t="shared" si="11"/>
        <v>6.752977185647683</v>
      </c>
      <c r="N17" s="221">
        <f t="shared" si="11"/>
        <v>7.209004194346464</v>
      </c>
      <c r="O17" s="221">
        <f t="shared" si="11"/>
        <v>7.728701609087513</v>
      </c>
      <c r="P17" s="221">
        <f t="shared" si="11"/>
        <v>8.326029894710633</v>
      </c>
      <c r="Q17" s="221">
        <f t="shared" si="11"/>
        <v>9.019257632786784</v>
      </c>
      <c r="R17" s="221">
        <f t="shared" si="11"/>
        <v>9.832727715252611</v>
      </c>
      <c r="S17" s="470">
        <f t="shared" si="2"/>
        <v>10.477277944067923</v>
      </c>
      <c r="T17" s="471">
        <v>10.2</v>
      </c>
      <c r="U17" s="472">
        <f t="shared" si="3"/>
        <v>10.294731759656653</v>
      </c>
      <c r="V17" s="475">
        <v>65.27</v>
      </c>
      <c r="W17" s="476">
        <f t="shared" si="4"/>
        <v>47.97345</v>
      </c>
      <c r="X17" s="474">
        <v>2600</v>
      </c>
    </row>
    <row r="18" spans="1:24" ht="12.75">
      <c r="A18" s="462">
        <v>2800</v>
      </c>
      <c r="B18" s="463">
        <v>13.5</v>
      </c>
      <c r="C18" s="221">
        <f t="shared" si="0"/>
        <v>4.555555555555555</v>
      </c>
      <c r="D18" s="221">
        <f aca="true" t="shared" si="12" ref="D18:R18">C18+C18*C18/100</f>
        <v>4.763086419753086</v>
      </c>
      <c r="E18" s="221">
        <f t="shared" si="12"/>
        <v>4.989956342173449</v>
      </c>
      <c r="F18" s="221">
        <f t="shared" si="12"/>
        <v>5.238952985141419</v>
      </c>
      <c r="G18" s="221">
        <f t="shared" si="12"/>
        <v>5.513419268946642</v>
      </c>
      <c r="H18" s="221">
        <f t="shared" si="12"/>
        <v>5.817397189298563</v>
      </c>
      <c r="I18" s="221">
        <f t="shared" si="12"/>
        <v>6.155818289879152</v>
      </c>
      <c r="J18" s="221">
        <f t="shared" si="12"/>
        <v>6.5347592780592585</v>
      </c>
      <c r="K18" s="221">
        <f t="shared" si="12"/>
        <v>6.961790066281074</v>
      </c>
      <c r="L18" s="221">
        <f t="shared" si="12"/>
        <v>7.446455275550772</v>
      </c>
      <c r="M18" s="221">
        <f t="shared" si="12"/>
        <v>8.00095223725855</v>
      </c>
      <c r="N18" s="221">
        <f t="shared" si="12"/>
        <v>8.641104604287477</v>
      </c>
      <c r="O18" s="221">
        <f t="shared" si="12"/>
        <v>9.38779149210986</v>
      </c>
      <c r="P18" s="221">
        <f t="shared" si="12"/>
        <v>10.269097783103163</v>
      </c>
      <c r="Q18" s="221">
        <f t="shared" si="12"/>
        <v>11.323641475892506</v>
      </c>
      <c r="R18" s="221">
        <f t="shared" si="12"/>
        <v>12.605890038638037</v>
      </c>
      <c r="S18" s="470">
        <f t="shared" si="2"/>
        <v>13.665279796412928</v>
      </c>
      <c r="T18" s="471">
        <v>13.5</v>
      </c>
      <c r="U18" s="472">
        <f t="shared" si="3"/>
        <v>13.529678111587982</v>
      </c>
      <c r="V18" s="475">
        <v>85.78</v>
      </c>
      <c r="W18" s="476">
        <f t="shared" si="4"/>
        <v>63.0483</v>
      </c>
      <c r="X18" s="474">
        <v>2800</v>
      </c>
    </row>
    <row r="19" spans="1:24" ht="12.75">
      <c r="A19" s="462">
        <v>3000</v>
      </c>
      <c r="B19" s="463">
        <v>18</v>
      </c>
      <c r="C19" s="221">
        <f t="shared" si="0"/>
        <v>5</v>
      </c>
      <c r="D19" s="221">
        <f aca="true" t="shared" si="13" ref="D19:R19">C19+C19*C19/100</f>
        <v>5.25</v>
      </c>
      <c r="E19" s="221">
        <f t="shared" si="13"/>
        <v>5.525625</v>
      </c>
      <c r="F19" s="221">
        <f t="shared" si="13"/>
        <v>5.83095031640625</v>
      </c>
      <c r="G19" s="221">
        <f t="shared" si="13"/>
        <v>6.170950132330232</v>
      </c>
      <c r="H19" s="221">
        <f t="shared" si="13"/>
        <v>6.551756387687297</v>
      </c>
      <c r="I19" s="221">
        <f t="shared" si="13"/>
        <v>6.98101150532331</v>
      </c>
      <c r="J19" s="221">
        <f t="shared" si="13"/>
        <v>7.468356721697874</v>
      </c>
      <c r="K19" s="221">
        <f t="shared" si="13"/>
        <v>8.026120242923172</v>
      </c>
      <c r="L19" s="221">
        <f t="shared" si="13"/>
        <v>8.670306304461784</v>
      </c>
      <c r="M19" s="221">
        <f t="shared" si="13"/>
        <v>9.42204841859368</v>
      </c>
      <c r="N19" s="221">
        <f t="shared" si="13"/>
        <v>10.309798382616918</v>
      </c>
      <c r="O19" s="221">
        <f t="shared" si="13"/>
        <v>11.372717809519022</v>
      </c>
      <c r="P19" s="221">
        <f t="shared" si="13"/>
        <v>12.666104913268533</v>
      </c>
      <c r="Q19" s="221">
        <f t="shared" si="13"/>
        <v>14.270407050007787</v>
      </c>
      <c r="R19" s="221">
        <f t="shared" si="13"/>
        <v>16.306852223736907</v>
      </c>
      <c r="S19" s="477">
        <f t="shared" si="2"/>
        <v>18.079608420048864</v>
      </c>
      <c r="T19" s="478">
        <v>18</v>
      </c>
      <c r="U19" s="479">
        <f t="shared" si="3"/>
        <v>17.941255364806867</v>
      </c>
      <c r="V19" s="480">
        <v>113.75</v>
      </c>
      <c r="W19" s="481">
        <f t="shared" si="4"/>
        <v>83.60625</v>
      </c>
      <c r="X19" s="482">
        <v>3000</v>
      </c>
    </row>
  </sheetData>
  <sheetProtection sheet="1" objects="1" scenarios="1"/>
  <printOptions/>
  <pageMargins left="3.090277777777777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/>
  <dimension ref="A1:P29"/>
  <sheetViews>
    <sheetView workbookViewId="0" topLeftCell="A3">
      <selection activeCell="E1" sqref="E1"/>
    </sheetView>
  </sheetViews>
  <sheetFormatPr defaultColWidth="11.421875" defaultRowHeight="12.75"/>
  <sheetData>
    <row r="1" ht="18">
      <c r="E1" s="448" t="s">
        <v>234</v>
      </c>
    </row>
    <row r="2" spans="5:16" ht="12.75">
      <c r="E2" s="483" t="s">
        <v>235</v>
      </c>
      <c r="F2" s="49" t="s">
        <v>236</v>
      </c>
      <c r="G2" s="483" t="s">
        <v>235</v>
      </c>
      <c r="H2" s="49" t="s">
        <v>236</v>
      </c>
      <c r="I2" s="484"/>
      <c r="J2" s="26"/>
      <c r="K2" s="485" t="s">
        <v>237</v>
      </c>
      <c r="L2" s="26"/>
      <c r="M2" s="27"/>
      <c r="P2" s="486" t="s">
        <v>238</v>
      </c>
    </row>
    <row r="3" spans="1:16" ht="12.75">
      <c r="A3" s="487"/>
      <c r="B3" s="488" t="s">
        <v>166</v>
      </c>
      <c r="C3" s="488" t="s">
        <v>239</v>
      </c>
      <c r="D3" s="489" t="s">
        <v>240</v>
      </c>
      <c r="E3" s="490" t="s">
        <v>241</v>
      </c>
      <c r="F3" s="239" t="s">
        <v>48</v>
      </c>
      <c r="G3" s="490" t="s">
        <v>242</v>
      </c>
      <c r="H3" s="239" t="s">
        <v>48</v>
      </c>
      <c r="I3" s="491" t="s">
        <v>243</v>
      </c>
      <c r="J3" s="492" t="s">
        <v>244</v>
      </c>
      <c r="K3" s="25" t="s">
        <v>48</v>
      </c>
      <c r="L3" s="25" t="s">
        <v>52</v>
      </c>
      <c r="M3" s="49" t="s">
        <v>53</v>
      </c>
      <c r="N3" s="493" t="s">
        <v>166</v>
      </c>
      <c r="O3" s="494" t="s">
        <v>239</v>
      </c>
      <c r="P3" s="495" t="s">
        <v>245</v>
      </c>
    </row>
    <row r="4" spans="1:16" ht="12.75">
      <c r="A4" s="496" t="s">
        <v>246</v>
      </c>
      <c r="B4" s="497">
        <v>0.6</v>
      </c>
      <c r="C4" s="497">
        <f>B4*SQRT('PAS &amp; DIAMETRE'!B6)/0.524</f>
        <v>4.128493826867163</v>
      </c>
      <c r="D4" s="498">
        <v>13</v>
      </c>
      <c r="E4" s="499">
        <v>5.62</v>
      </c>
      <c r="F4" s="500">
        <v>1160</v>
      </c>
      <c r="G4" s="501">
        <v>4.147</v>
      </c>
      <c r="H4" s="500">
        <v>1075</v>
      </c>
      <c r="I4" s="502">
        <v>6.76</v>
      </c>
      <c r="J4" s="503">
        <f aca="true" t="shared" si="0" ref="J4:J17">0.62+0.046*((E4-I4)/7.47)</f>
        <v>0.6129799196787149</v>
      </c>
      <c r="K4" s="504">
        <v>1160</v>
      </c>
      <c r="L4" s="503">
        <f aca="true" t="shared" si="1" ref="L4:L17">I4/4.66</f>
        <v>1.4506437768240343</v>
      </c>
      <c r="M4" s="503">
        <f aca="true" t="shared" si="2" ref="M4:M17">L4/C4</f>
        <v>0.3513736092769771</v>
      </c>
      <c r="N4" s="505">
        <v>0.6</v>
      </c>
      <c r="O4" s="506">
        <f>N4*SQRT('PAS &amp; DIAMETRE'!B6)/0.524</f>
        <v>4.128493826867163</v>
      </c>
      <c r="P4" s="507">
        <f aca="true" t="shared" si="3" ref="P4:P17">I4-(E4+G4)/2</f>
        <v>1.8765</v>
      </c>
    </row>
    <row r="5" spans="1:16" ht="12.75">
      <c r="A5" s="496" t="s">
        <v>247</v>
      </c>
      <c r="B5" s="508">
        <v>0.65</v>
      </c>
      <c r="C5" s="508">
        <f>B5*SQRT('PAS &amp; DIAMETRE'!B6)/0.524</f>
        <v>4.4725349791060935</v>
      </c>
      <c r="D5" s="509">
        <v>14.5</v>
      </c>
      <c r="E5" s="510">
        <v>7.131</v>
      </c>
      <c r="F5" s="511">
        <v>1265</v>
      </c>
      <c r="G5" s="512">
        <v>5.27</v>
      </c>
      <c r="H5" s="511">
        <v>1171</v>
      </c>
      <c r="I5" s="513">
        <v>7.54</v>
      </c>
      <c r="J5" s="514">
        <f t="shared" si="0"/>
        <v>0.617481392235609</v>
      </c>
      <c r="K5" s="515">
        <v>1265</v>
      </c>
      <c r="L5" s="514">
        <f t="shared" si="1"/>
        <v>1.6180257510729614</v>
      </c>
      <c r="M5" s="514">
        <f t="shared" si="2"/>
        <v>0.3617692781904971</v>
      </c>
      <c r="N5" s="516">
        <v>0.65</v>
      </c>
      <c r="O5" s="517">
        <f>N5*SQRT('PAS &amp; DIAMETRE'!B6)/0.524</f>
        <v>4.4725349791060935</v>
      </c>
      <c r="P5" s="518">
        <f t="shared" si="3"/>
        <v>1.3395000000000001</v>
      </c>
    </row>
    <row r="6" spans="1:16" ht="12.75">
      <c r="A6" s="496" t="s">
        <v>248</v>
      </c>
      <c r="B6" s="508">
        <v>0.7</v>
      </c>
      <c r="C6" s="508">
        <f>B6*SQRT('PAS &amp; DIAMETRE'!B6)/0.524</f>
        <v>4.816576131345023</v>
      </c>
      <c r="D6" s="509">
        <v>17</v>
      </c>
      <c r="E6" s="510">
        <v>8.823</v>
      </c>
      <c r="F6" s="511">
        <v>1370</v>
      </c>
      <c r="G6" s="512">
        <v>6.592</v>
      </c>
      <c r="H6" s="511">
        <v>1270</v>
      </c>
      <c r="I6" s="513">
        <v>8.83</v>
      </c>
      <c r="J6" s="514">
        <f t="shared" si="0"/>
        <v>0.6199568942436412</v>
      </c>
      <c r="K6" s="515">
        <v>1370</v>
      </c>
      <c r="L6" s="514">
        <f t="shared" si="1"/>
        <v>1.8948497854077253</v>
      </c>
      <c r="M6" s="514">
        <f t="shared" si="2"/>
        <v>0.3934018135987795</v>
      </c>
      <c r="N6" s="516">
        <v>0.7</v>
      </c>
      <c r="O6" s="517">
        <f>N6*SQRT('PAS &amp; DIAMETRE'!B6)/0.524</f>
        <v>4.816576131345023</v>
      </c>
      <c r="P6" s="518">
        <f t="shared" si="3"/>
        <v>1.1225000000000005</v>
      </c>
    </row>
    <row r="7" spans="1:16" ht="12.75">
      <c r="A7" s="519" t="s">
        <v>249</v>
      </c>
      <c r="B7" s="520">
        <v>0.75</v>
      </c>
      <c r="C7" s="520">
        <f>B7*SQRT('PAS &amp; DIAMETRE'!B6)/0.524</f>
        <v>5.160617283583954</v>
      </c>
      <c r="D7" s="509">
        <v>20</v>
      </c>
      <c r="E7" s="510">
        <v>10.865</v>
      </c>
      <c r="F7" s="511">
        <v>1481</v>
      </c>
      <c r="G7" s="512">
        <v>8.127</v>
      </c>
      <c r="H7" s="511">
        <v>1370</v>
      </c>
      <c r="I7" s="521">
        <v>10.63</v>
      </c>
      <c r="J7" s="522">
        <f t="shared" si="0"/>
        <v>0.6214471218206158</v>
      </c>
      <c r="K7" s="523">
        <v>1481</v>
      </c>
      <c r="L7" s="522">
        <f t="shared" si="1"/>
        <v>2.2811158798283264</v>
      </c>
      <c r="M7" s="522">
        <f t="shared" si="2"/>
        <v>0.4420238422028718</v>
      </c>
      <c r="N7" s="524">
        <v>0.75</v>
      </c>
      <c r="O7" s="525">
        <f>N7*SQRT('PAS &amp; DIAMETRE'!B6)/0.524</f>
        <v>5.160617283583954</v>
      </c>
      <c r="P7" s="518">
        <f t="shared" si="3"/>
        <v>1.1340000000000003</v>
      </c>
    </row>
    <row r="8" spans="1:16" ht="12.75">
      <c r="A8" s="519" t="s">
        <v>250</v>
      </c>
      <c r="B8" s="520">
        <v>0.8</v>
      </c>
      <c r="C8" s="520">
        <f>B8*SQRT('PAS &amp; DIAMETRE'!B6)/0.524</f>
        <v>5.5046584358228845</v>
      </c>
      <c r="D8" s="509">
        <v>19</v>
      </c>
      <c r="E8" s="510">
        <v>13.217</v>
      </c>
      <c r="F8" s="511">
        <v>1593</v>
      </c>
      <c r="G8" s="512">
        <v>9.842</v>
      </c>
      <c r="H8" s="511">
        <v>1470</v>
      </c>
      <c r="I8" s="521">
        <v>11.55</v>
      </c>
      <c r="J8" s="522">
        <f t="shared" si="0"/>
        <v>0.630265327978581</v>
      </c>
      <c r="K8" s="523">
        <v>1560</v>
      </c>
      <c r="L8" s="522">
        <f t="shared" si="1"/>
        <v>2.478540772532189</v>
      </c>
      <c r="M8" s="522">
        <f t="shared" si="2"/>
        <v>0.45026240981683635</v>
      </c>
      <c r="N8" s="524">
        <v>0.8</v>
      </c>
      <c r="O8" s="525">
        <f>N8*SQRT('PAS &amp; DIAMETRE'!B6)/0.524</f>
        <v>5.5046584358228845</v>
      </c>
      <c r="P8" s="518">
        <f t="shared" si="3"/>
        <v>0.020500000000000185</v>
      </c>
    </row>
    <row r="9" spans="1:16" ht="12.75">
      <c r="A9" s="526" t="s">
        <v>251</v>
      </c>
      <c r="B9" s="527">
        <v>0.85</v>
      </c>
      <c r="C9" s="527">
        <f>B9*SQRT('PAS &amp; DIAMETRE'!B6)/0.524</f>
        <v>5.848699588061814</v>
      </c>
      <c r="D9" s="509">
        <v>20</v>
      </c>
      <c r="E9" s="510">
        <v>15.9</v>
      </c>
      <c r="F9" s="511">
        <v>1710</v>
      </c>
      <c r="G9" s="512">
        <v>11.843</v>
      </c>
      <c r="H9" s="511">
        <v>1575</v>
      </c>
      <c r="I9" s="528">
        <v>13.15</v>
      </c>
      <c r="J9" s="529">
        <f t="shared" si="0"/>
        <v>0.6369344042838019</v>
      </c>
      <c r="K9" s="530">
        <v>1640</v>
      </c>
      <c r="L9" s="531">
        <f t="shared" si="1"/>
        <v>2.8218884120171674</v>
      </c>
      <c r="M9" s="532">
        <f t="shared" si="2"/>
        <v>0.48248133957454736</v>
      </c>
      <c r="N9" s="533">
        <v>0.85</v>
      </c>
      <c r="O9" s="534">
        <f>N9*SQRT('PAS &amp; DIAMETRE'!B6)/0.524</f>
        <v>5.848699588061814</v>
      </c>
      <c r="P9" s="518">
        <f t="shared" si="3"/>
        <v>-0.7215000000000007</v>
      </c>
    </row>
    <row r="10" spans="1:16" ht="12.75">
      <c r="A10" s="535"/>
      <c r="B10" s="527">
        <v>0.9</v>
      </c>
      <c r="C10" s="527">
        <f>B10*SQRT('PAS &amp; DIAMETRE'!B6)/0.524</f>
        <v>6.192740740300744</v>
      </c>
      <c r="D10" s="509">
        <v>33</v>
      </c>
      <c r="E10" s="510">
        <v>18.813</v>
      </c>
      <c r="F10" s="511">
        <v>1820</v>
      </c>
      <c r="G10" s="512">
        <v>13.972</v>
      </c>
      <c r="H10" s="511">
        <v>1677</v>
      </c>
      <c r="I10" s="536">
        <v>17.99</v>
      </c>
      <c r="J10" s="537">
        <f t="shared" si="0"/>
        <v>0.6250680053547524</v>
      </c>
      <c r="K10" s="538">
        <v>1787</v>
      </c>
      <c r="L10" s="539">
        <f t="shared" si="1"/>
        <v>3.860515021459227</v>
      </c>
      <c r="M10" s="540">
        <f t="shared" si="2"/>
        <v>0.6233936125140845</v>
      </c>
      <c r="N10" s="533">
        <v>0.9</v>
      </c>
      <c r="O10" s="534">
        <f>N10*SQRT('PAS &amp; DIAMETRE'!B6)/0.524</f>
        <v>6.192740740300744</v>
      </c>
      <c r="P10" s="518">
        <f t="shared" si="3"/>
        <v>1.5975000000000001</v>
      </c>
    </row>
    <row r="11" spans="1:16" ht="12.75">
      <c r="A11" s="541" t="s">
        <v>252</v>
      </c>
      <c r="B11" s="542">
        <v>0.95</v>
      </c>
      <c r="C11" s="542">
        <f>B11*SQRT('PAS &amp; DIAMETRE'!B6)/0.524</f>
        <v>6.536781892539675</v>
      </c>
      <c r="D11" s="543">
        <v>40</v>
      </c>
      <c r="E11" s="510">
        <v>22.208</v>
      </c>
      <c r="F11" s="511">
        <v>1950</v>
      </c>
      <c r="G11" s="512">
        <v>16.479</v>
      </c>
      <c r="H11" s="511">
        <v>1786</v>
      </c>
      <c r="I11" s="544">
        <v>21.5</v>
      </c>
      <c r="J11" s="545">
        <f t="shared" si="0"/>
        <v>0.6243598393574297</v>
      </c>
      <c r="K11" s="546">
        <v>1950</v>
      </c>
      <c r="L11" s="545">
        <f t="shared" si="1"/>
        <v>4.613733905579399</v>
      </c>
      <c r="M11" s="545">
        <f t="shared" si="2"/>
        <v>0.7058112051810969</v>
      </c>
      <c r="N11" s="547">
        <v>0.95</v>
      </c>
      <c r="O11" s="548">
        <f>N11*SQRT('PAS &amp; DIAMETRE'!B6)/0.524</f>
        <v>6.536781892539675</v>
      </c>
      <c r="P11" s="549">
        <f t="shared" si="3"/>
        <v>2.156500000000001</v>
      </c>
    </row>
    <row r="12" spans="1:16" ht="12.75">
      <c r="A12" s="550" t="s">
        <v>227</v>
      </c>
      <c r="B12" s="527">
        <v>1</v>
      </c>
      <c r="C12" s="527">
        <f>B12*SQRT('PAS &amp; DIAMETRE'!B6)/0.524</f>
        <v>6.880823044778605</v>
      </c>
      <c r="D12" s="509">
        <v>32</v>
      </c>
      <c r="E12" s="510">
        <v>25.981</v>
      </c>
      <c r="F12" s="511">
        <v>2077</v>
      </c>
      <c r="G12" s="512">
        <v>19.212</v>
      </c>
      <c r="H12" s="511">
        <v>1895</v>
      </c>
      <c r="I12" s="528">
        <v>21.31</v>
      </c>
      <c r="J12" s="529">
        <f t="shared" si="0"/>
        <v>0.6487638554216868</v>
      </c>
      <c r="K12" s="530">
        <v>1935</v>
      </c>
      <c r="L12" s="531">
        <f t="shared" si="1"/>
        <v>4.572961373390558</v>
      </c>
      <c r="M12" s="532">
        <f t="shared" si="2"/>
        <v>0.6645951136413356</v>
      </c>
      <c r="N12" s="533">
        <v>1</v>
      </c>
      <c r="O12" s="534">
        <f>N12*SQRT('PAS &amp; DIAMETRE'!B6)/0.524</f>
        <v>6.880823044778605</v>
      </c>
      <c r="P12" s="518">
        <f t="shared" si="3"/>
        <v>-1.2865000000000002</v>
      </c>
    </row>
    <row r="13" spans="1:16" ht="12.75">
      <c r="A13" s="550" t="s">
        <v>253</v>
      </c>
      <c r="B13" s="527">
        <v>1.05</v>
      </c>
      <c r="C13" s="527">
        <f>B13*SQRT('PAS &amp; DIAMETRE'!B6)/0.524</f>
        <v>7.224864197017535</v>
      </c>
      <c r="D13" s="509">
        <v>29</v>
      </c>
      <c r="E13" s="510">
        <v>30.016</v>
      </c>
      <c r="F13" s="511">
        <v>2205</v>
      </c>
      <c r="G13" s="512">
        <v>22.168</v>
      </c>
      <c r="H13" s="511">
        <v>2005</v>
      </c>
      <c r="I13" s="536">
        <v>22.55</v>
      </c>
      <c r="J13" s="537">
        <f t="shared" si="0"/>
        <v>0.6659753681392235</v>
      </c>
      <c r="K13" s="538">
        <v>1965</v>
      </c>
      <c r="L13" s="539">
        <f t="shared" si="1"/>
        <v>4.839055793991417</v>
      </c>
      <c r="M13" s="540">
        <f t="shared" si="2"/>
        <v>0.669778097142505</v>
      </c>
      <c r="N13" s="533">
        <v>1.05</v>
      </c>
      <c r="O13" s="534">
        <f>N13*SQRT('PAS &amp; DIAMETRE'!B6)/0.524</f>
        <v>7.224864197017535</v>
      </c>
      <c r="P13" s="518">
        <f t="shared" si="3"/>
        <v>-3.541999999999998</v>
      </c>
    </row>
    <row r="14" spans="1:16" ht="12.75">
      <c r="A14" s="551"/>
      <c r="B14" s="520">
        <v>1.1</v>
      </c>
      <c r="C14" s="520">
        <f>B14*SQRT('PAS &amp; DIAMETRE'!B6)/0.524</f>
        <v>7.568905349256466</v>
      </c>
      <c r="D14" s="509">
        <v>34</v>
      </c>
      <c r="E14" s="510">
        <v>34.504</v>
      </c>
      <c r="F14" s="511">
        <v>2340</v>
      </c>
      <c r="G14" s="512">
        <v>25.663</v>
      </c>
      <c r="H14" s="511">
        <v>2125</v>
      </c>
      <c r="I14" s="521">
        <v>27.5</v>
      </c>
      <c r="J14" s="522">
        <f t="shared" si="0"/>
        <v>0.6631303882195448</v>
      </c>
      <c r="K14" s="523">
        <v>2125</v>
      </c>
      <c r="L14" s="522">
        <f t="shared" si="1"/>
        <v>5.901287553648069</v>
      </c>
      <c r="M14" s="522">
        <f t="shared" si="2"/>
        <v>0.7796751685140023</v>
      </c>
      <c r="N14" s="524">
        <v>1.1</v>
      </c>
      <c r="O14" s="525">
        <f>N14*SQRT('PAS &amp; DIAMETRE'!B6)/0.524</f>
        <v>7.568905349256466</v>
      </c>
      <c r="P14" s="518">
        <f t="shared" si="3"/>
        <v>-2.583500000000001</v>
      </c>
    </row>
    <row r="15" spans="1:16" ht="12.75">
      <c r="A15" s="551" t="s">
        <v>227</v>
      </c>
      <c r="B15" s="520">
        <v>1.15</v>
      </c>
      <c r="C15" s="520">
        <f>B15*SQRT('PAS &amp; DIAMETRE'!B6)/0.524</f>
        <v>7.912946501495396</v>
      </c>
      <c r="D15" s="509">
        <v>47</v>
      </c>
      <c r="E15" s="510">
        <v>39.412</v>
      </c>
      <c r="F15" s="511">
        <v>2480</v>
      </c>
      <c r="G15" s="512">
        <v>29.179</v>
      </c>
      <c r="H15" s="511">
        <v>2240</v>
      </c>
      <c r="I15" s="521">
        <v>34</v>
      </c>
      <c r="J15" s="522">
        <f t="shared" si="0"/>
        <v>0.653326907630522</v>
      </c>
      <c r="K15" s="523">
        <v>2240</v>
      </c>
      <c r="L15" s="522">
        <f t="shared" si="1"/>
        <v>7.296137339055794</v>
      </c>
      <c r="M15" s="522">
        <f t="shared" si="2"/>
        <v>0.9220506340687332</v>
      </c>
      <c r="N15" s="524">
        <v>1.15</v>
      </c>
      <c r="O15" s="525">
        <f>N15*SQRT('PAS &amp; DIAMETRE'!B6)/0.524</f>
        <v>7.912946501495396</v>
      </c>
      <c r="P15" s="518">
        <f t="shared" si="3"/>
        <v>-0.295499999999997</v>
      </c>
    </row>
    <row r="16" spans="1:16" ht="12.75">
      <c r="A16" s="551" t="s">
        <v>193</v>
      </c>
      <c r="B16" s="520">
        <v>1.2</v>
      </c>
      <c r="C16" s="520">
        <f>B16*SQRT('PAS &amp; DIAMETRE'!B6)/0.524</f>
        <v>8.256987653734326</v>
      </c>
      <c r="D16" s="509">
        <v>66</v>
      </c>
      <c r="E16" s="510">
        <v>44.861</v>
      </c>
      <c r="F16" s="511">
        <v>2630</v>
      </c>
      <c r="G16" s="512">
        <v>33.244</v>
      </c>
      <c r="H16" s="511">
        <v>2365</v>
      </c>
      <c r="I16" s="521">
        <v>42</v>
      </c>
      <c r="J16" s="522">
        <f t="shared" si="0"/>
        <v>0.6376179384203481</v>
      </c>
      <c r="K16" s="523">
        <v>2488</v>
      </c>
      <c r="L16" s="522">
        <f t="shared" si="1"/>
        <v>9.012875536480687</v>
      </c>
      <c r="M16" s="522">
        <f t="shared" si="2"/>
        <v>1.0915452359196034</v>
      </c>
      <c r="N16" s="524">
        <v>1.2</v>
      </c>
      <c r="O16" s="525">
        <f>N16*SQRT('PAS &amp; DIAMETRE'!B6)/0.524</f>
        <v>8.256987653734326</v>
      </c>
      <c r="P16" s="518">
        <f t="shared" si="3"/>
        <v>2.947500000000005</v>
      </c>
    </row>
    <row r="17" spans="1:16" ht="12.75">
      <c r="A17" s="551"/>
      <c r="B17" s="520">
        <v>1.25</v>
      </c>
      <c r="C17" s="520">
        <f>B17*SQRT('PAS &amp; DIAMETRE'!B6)/0.524</f>
        <v>8.601028805973256</v>
      </c>
      <c r="D17" s="509">
        <v>84.5</v>
      </c>
      <c r="E17" s="552">
        <v>50.64</v>
      </c>
      <c r="F17" s="553">
        <v>2785</v>
      </c>
      <c r="G17" s="554">
        <v>37.5</v>
      </c>
      <c r="H17" s="553">
        <v>2490</v>
      </c>
      <c r="I17" s="555">
        <v>52</v>
      </c>
      <c r="J17" s="556">
        <f t="shared" si="0"/>
        <v>0.6116251673360107</v>
      </c>
      <c r="K17" s="557">
        <v>2875</v>
      </c>
      <c r="L17" s="556">
        <f t="shared" si="1"/>
        <v>11.158798283261802</v>
      </c>
      <c r="M17" s="556">
        <f t="shared" si="2"/>
        <v>1.2973794804073</v>
      </c>
      <c r="N17" s="558">
        <v>1.25</v>
      </c>
      <c r="O17" s="559">
        <f>N17*SQRT('PAS &amp; DIAMETRE'!B6)/0.524</f>
        <v>8.601028805973256</v>
      </c>
      <c r="P17" s="560">
        <f t="shared" si="3"/>
        <v>7.93</v>
      </c>
    </row>
    <row r="18" spans="1:8" ht="12.75">
      <c r="A18" s="561"/>
      <c r="B18" s="562">
        <v>1.3</v>
      </c>
      <c r="C18" s="562">
        <f>B18*SQRT('PAS &amp; DIAMETRE'!B6)/0.524</f>
        <v>8.945069958212187</v>
      </c>
      <c r="D18" s="563">
        <v>100</v>
      </c>
      <c r="E18" s="160"/>
      <c r="F18" s="36"/>
      <c r="G18" s="160"/>
      <c r="H18" s="36"/>
    </row>
    <row r="19" spans="1:7" ht="12.75">
      <c r="A19" s="561"/>
      <c r="B19" s="562">
        <v>1.35</v>
      </c>
      <c r="C19" s="562">
        <f>B19*SQRT('PAS &amp; DIAMETRE'!B6)/0.524</f>
        <v>9.289111110451117</v>
      </c>
      <c r="D19" s="563">
        <v>113.5</v>
      </c>
      <c r="E19" s="160"/>
      <c r="F19" s="564" t="s">
        <v>254</v>
      </c>
      <c r="G19" s="160"/>
    </row>
    <row r="20" spans="1:8" ht="12.75">
      <c r="A20" s="561"/>
      <c r="B20" s="562">
        <v>1.4</v>
      </c>
      <c r="C20" s="562">
        <f>B20*SQRT('PAS &amp; DIAMETRE'!B6)/0.524</f>
        <v>9.633152262690047</v>
      </c>
      <c r="D20" s="563">
        <v>124</v>
      </c>
      <c r="E20" s="160"/>
      <c r="F20" s="36"/>
      <c r="G20" s="160" t="s">
        <v>255</v>
      </c>
      <c r="H20" s="36"/>
    </row>
    <row r="21" spans="1:8" ht="12.75">
      <c r="A21" s="561"/>
      <c r="B21" s="562">
        <v>1.45</v>
      </c>
      <c r="C21" s="562">
        <f>B21*SQRT('PAS &amp; DIAMETRE'!B6)/0.524</f>
        <v>9.977193414928978</v>
      </c>
      <c r="D21" s="563">
        <v>129.5</v>
      </c>
      <c r="E21" s="160"/>
      <c r="F21" s="36"/>
      <c r="G21" s="160" t="s">
        <v>256</v>
      </c>
      <c r="H21" s="36"/>
    </row>
    <row r="22" spans="1:7" ht="12.75">
      <c r="A22" s="561"/>
      <c r="B22" s="562">
        <v>1.5</v>
      </c>
      <c r="C22" s="562">
        <f>B22*SQRT('PAS &amp; DIAMETRE'!B6)/0.524</f>
        <v>10.321234567167908</v>
      </c>
      <c r="D22" s="563">
        <v>132.5</v>
      </c>
      <c r="E22" s="160"/>
      <c r="F22" s="564" t="s">
        <v>257</v>
      </c>
      <c r="G22" s="160"/>
    </row>
    <row r="23" spans="1:8" ht="12.75">
      <c r="A23" s="561"/>
      <c r="B23" s="562">
        <v>1.55</v>
      </c>
      <c r="C23" s="562">
        <f>B23*SQRT('PAS &amp; DIAMETRE'!B6)/0.524</f>
        <v>10.665275719406837</v>
      </c>
      <c r="D23" s="563">
        <v>132</v>
      </c>
      <c r="E23" s="160"/>
      <c r="F23" s="36"/>
      <c r="G23" s="160" t="s">
        <v>258</v>
      </c>
      <c r="H23" s="36"/>
    </row>
    <row r="24" spans="1:8" ht="12.75">
      <c r="A24" s="561"/>
      <c r="B24" s="562">
        <v>1.6</v>
      </c>
      <c r="C24" s="562">
        <f>B24*SQRT('PAS &amp; DIAMETRE'!B6)/0.524</f>
        <v>11.009316871645769</v>
      </c>
      <c r="D24" s="563">
        <v>130</v>
      </c>
      <c r="E24" s="160"/>
      <c r="F24" s="36"/>
      <c r="G24" s="160"/>
      <c r="H24" s="36"/>
    </row>
    <row r="25" spans="1:8" ht="12.75">
      <c r="A25" s="561"/>
      <c r="B25" s="562">
        <v>1.65</v>
      </c>
      <c r="C25" s="562">
        <f>B25*SQRT('PAS &amp; DIAMETRE'!B6)/0.524</f>
        <v>11.353358023884697</v>
      </c>
      <c r="D25" s="563">
        <v>128</v>
      </c>
      <c r="E25" s="160"/>
      <c r="F25" s="36"/>
      <c r="G25" s="160"/>
      <c r="H25" s="36"/>
    </row>
    <row r="26" spans="1:8" ht="12.75">
      <c r="A26" s="561"/>
      <c r="B26" s="562">
        <v>1.7</v>
      </c>
      <c r="C26" s="562">
        <f>B26*SQRT('PAS &amp; DIAMETRE'!B6)/0.524</f>
        <v>11.697399176123628</v>
      </c>
      <c r="D26" s="563">
        <v>126</v>
      </c>
      <c r="E26" s="160"/>
      <c r="F26" s="36"/>
      <c r="G26" s="160"/>
      <c r="H26" s="36"/>
    </row>
    <row r="27" spans="1:8" ht="12.75">
      <c r="A27" s="561"/>
      <c r="B27" s="562">
        <v>1.75</v>
      </c>
      <c r="C27" s="562">
        <f>B27*SQRT('PAS &amp; DIAMETRE'!B6)/0.524</f>
        <v>12.04144032836256</v>
      </c>
      <c r="D27" s="563">
        <v>122.5</v>
      </c>
      <c r="E27" s="160"/>
      <c r="F27" s="36"/>
      <c r="G27" s="160"/>
      <c r="H27" s="36"/>
    </row>
    <row r="28" spans="1:8" ht="12.75">
      <c r="A28" s="565"/>
      <c r="B28" s="566">
        <v>1.8</v>
      </c>
      <c r="C28" s="566">
        <f>B28*SQRT('PAS &amp; DIAMETRE'!B6)/0.524</f>
        <v>12.385481480601488</v>
      </c>
      <c r="D28" s="567">
        <v>119</v>
      </c>
      <c r="E28" s="160"/>
      <c r="F28" s="36"/>
      <c r="G28" s="160"/>
      <c r="H28" s="36"/>
    </row>
    <row r="29" spans="1:4" ht="12.75">
      <c r="A29" s="568"/>
      <c r="B29" s="278"/>
      <c r="C29" s="278"/>
      <c r="D29" s="278"/>
    </row>
  </sheetData>
  <sheetProtection sheet="1" objects="1" scenario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81"/>
  <sheetViews>
    <sheetView workbookViewId="0" topLeftCell="A1">
      <selection activeCell="P14" sqref="P14"/>
    </sheetView>
  </sheetViews>
  <sheetFormatPr defaultColWidth="11.421875" defaultRowHeight="12.75"/>
  <cols>
    <col min="1" max="1" width="11.421875" style="87" customWidth="1"/>
    <col min="2" max="2" width="7.57421875" style="569" customWidth="1"/>
    <col min="3" max="3" width="8.28125" style="129" customWidth="1"/>
    <col min="4" max="4" width="8.7109375" style="570" customWidth="1"/>
    <col min="5" max="5" width="7.140625" style="569" customWidth="1"/>
    <col min="6" max="6" width="7.00390625" style="571" customWidth="1"/>
    <col min="7" max="7" width="6.7109375" style="87" customWidth="1"/>
    <col min="8" max="8" width="4.7109375" style="127" customWidth="1"/>
    <col min="9" max="9" width="4.7109375" style="572" customWidth="1"/>
    <col min="10" max="10" width="5.140625" style="87" customWidth="1"/>
    <col min="11" max="11" width="5.140625" style="127" customWidth="1"/>
    <col min="12" max="12" width="4.8515625" style="573" customWidth="1"/>
    <col min="13" max="13" width="4.8515625" style="574" customWidth="1"/>
    <col min="14" max="14" width="6.421875" style="573" customWidth="1"/>
    <col min="15" max="15" width="6.421875" style="575" customWidth="1"/>
    <col min="16" max="16" width="5.7109375" style="576" customWidth="1"/>
    <col min="17" max="17" width="7.28125" style="577" customWidth="1"/>
    <col min="18" max="18" width="6.421875" style="127" customWidth="1"/>
    <col min="19" max="19" width="7.28125" style="578" customWidth="1"/>
    <col min="20" max="20" width="5.8515625" style="87" customWidth="1"/>
    <col min="21" max="24" width="11.421875" style="87" customWidth="1"/>
    <col min="25" max="25" width="11.421875" style="90" customWidth="1"/>
    <col min="26" max="29" width="11.421875" style="87" customWidth="1"/>
    <col min="30" max="30" width="11.421875" style="90" customWidth="1"/>
    <col min="31" max="16384" width="11.421875" style="87" customWidth="1"/>
  </cols>
  <sheetData>
    <row r="1" spans="1:30" s="599" customFormat="1" ht="11.25">
      <c r="A1" s="579" t="s">
        <v>259</v>
      </c>
      <c r="B1" s="580"/>
      <c r="C1" s="580"/>
      <c r="D1" s="581"/>
      <c r="E1" s="582"/>
      <c r="F1" s="583" t="s">
        <v>260</v>
      </c>
      <c r="G1" s="584"/>
      <c r="H1" s="585"/>
      <c r="I1" s="586" t="s">
        <v>261</v>
      </c>
      <c r="J1" s="587"/>
      <c r="K1" s="588"/>
      <c r="L1" s="589" t="s">
        <v>262</v>
      </c>
      <c r="M1" s="590"/>
      <c r="N1" s="591"/>
      <c r="O1" s="592"/>
      <c r="P1" s="593"/>
      <c r="Q1" s="594"/>
      <c r="R1" s="595" t="s">
        <v>263</v>
      </c>
      <c r="S1" s="596"/>
      <c r="T1" s="597" t="s">
        <v>264</v>
      </c>
      <c r="U1" s="129" t="s">
        <v>265</v>
      </c>
      <c r="V1" s="569"/>
      <c r="W1" s="129"/>
      <c r="X1" s="598"/>
      <c r="Y1" s="576"/>
      <c r="AD1" s="600"/>
    </row>
    <row r="2" spans="1:30" s="599" customFormat="1" ht="11.25">
      <c r="A2" s="601" t="s">
        <v>266</v>
      </c>
      <c r="B2" s="602" t="s">
        <v>267</v>
      </c>
      <c r="C2" s="602" t="s">
        <v>268</v>
      </c>
      <c r="D2" s="603" t="s">
        <v>269</v>
      </c>
      <c r="E2" s="604" t="s">
        <v>270</v>
      </c>
      <c r="F2" s="605" t="s">
        <v>271</v>
      </c>
      <c r="G2" s="606" t="s">
        <v>272</v>
      </c>
      <c r="H2" s="585" t="s">
        <v>273</v>
      </c>
      <c r="I2" s="607" t="s">
        <v>274</v>
      </c>
      <c r="J2" s="608" t="s">
        <v>275</v>
      </c>
      <c r="K2" s="609" t="s">
        <v>276</v>
      </c>
      <c r="L2" s="610" t="s">
        <v>277</v>
      </c>
      <c r="M2" s="611" t="s">
        <v>278</v>
      </c>
      <c r="N2" s="610" t="s">
        <v>279</v>
      </c>
      <c r="O2" s="612" t="s">
        <v>280</v>
      </c>
      <c r="P2" s="613" t="s">
        <v>281</v>
      </c>
      <c r="Q2" s="614" t="s">
        <v>278</v>
      </c>
      <c r="R2" s="615" t="s">
        <v>282</v>
      </c>
      <c r="S2" s="616" t="s">
        <v>283</v>
      </c>
      <c r="T2" s="617" t="s">
        <v>284</v>
      </c>
      <c r="U2" s="129" t="s">
        <v>285</v>
      </c>
      <c r="V2" s="569"/>
      <c r="W2" s="129"/>
      <c r="X2" s="598"/>
      <c r="Y2" s="600"/>
      <c r="Z2" s="569" t="s">
        <v>277</v>
      </c>
      <c r="AD2" s="600"/>
    </row>
    <row r="3" spans="1:30" s="642" customFormat="1" ht="11.25">
      <c r="A3" s="618" t="s">
        <v>286</v>
      </c>
      <c r="B3" s="619">
        <v>0</v>
      </c>
      <c r="C3" s="620">
        <v>0</v>
      </c>
      <c r="D3" s="621">
        <v>39417</v>
      </c>
      <c r="E3" s="622"/>
      <c r="F3" s="623"/>
      <c r="G3" s="624"/>
      <c r="H3" s="625" t="s">
        <v>287</v>
      </c>
      <c r="I3" s="626">
        <v>0</v>
      </c>
      <c r="J3" s="627">
        <f aca="true" t="shared" si="0" ref="J3:J10">IF(I3&gt;2,IF(I3&lt;34,(4.675*(I3-2)+7-2.45*SIN(3.14*(I3-3)/26)),0),0)</f>
        <v>0</v>
      </c>
      <c r="K3" s="628">
        <v>44</v>
      </c>
      <c r="L3" s="629">
        <f>J3+K3</f>
        <v>44</v>
      </c>
      <c r="M3" s="630">
        <v>0</v>
      </c>
      <c r="N3" s="631">
        <v>44</v>
      </c>
      <c r="O3" s="632"/>
      <c r="P3" s="633"/>
      <c r="Q3" s="633"/>
      <c r="R3" s="634"/>
      <c r="S3" s="635"/>
      <c r="T3" s="636"/>
      <c r="U3" s="637" t="s">
        <v>288</v>
      </c>
      <c r="V3" s="638" t="s">
        <v>289</v>
      </c>
      <c r="W3" s="638" t="s">
        <v>290</v>
      </c>
      <c r="X3" s="639" t="s">
        <v>291</v>
      </c>
      <c r="Y3" s="640" t="s">
        <v>292</v>
      </c>
      <c r="Z3" s="637" t="s">
        <v>288</v>
      </c>
      <c r="AA3" s="638" t="s">
        <v>289</v>
      </c>
      <c r="AB3" s="638" t="s">
        <v>290</v>
      </c>
      <c r="AC3" s="639" t="s">
        <v>291</v>
      </c>
      <c r="AD3" s="641" t="s">
        <v>292</v>
      </c>
    </row>
    <row r="4" spans="1:30" s="667" customFormat="1" ht="11.25">
      <c r="A4" s="643" t="s">
        <v>293</v>
      </c>
      <c r="B4" s="644">
        <v>1.8</v>
      </c>
      <c r="C4" s="645">
        <f>C3</f>
        <v>0</v>
      </c>
      <c r="D4" s="646">
        <v>39480</v>
      </c>
      <c r="E4" s="647">
        <v>0</v>
      </c>
      <c r="F4" s="648"/>
      <c r="G4" s="649"/>
      <c r="H4" s="650"/>
      <c r="I4" s="651">
        <v>9.5</v>
      </c>
      <c r="J4" s="627">
        <f t="shared" si="0"/>
        <v>40.330778306291855</v>
      </c>
      <c r="K4" s="652">
        <v>0</v>
      </c>
      <c r="L4" s="653">
        <f>IF(J4+K4=0,L3,J4+K4)</f>
        <v>40.330778306291855</v>
      </c>
      <c r="M4" s="654">
        <v>2</v>
      </c>
      <c r="N4" s="655">
        <f aca="true" t="shared" si="1" ref="N4:N36">IF(J4+K4=0,0,N3+E4-(B4-B3)*M4)</f>
        <v>40.4</v>
      </c>
      <c r="O4" s="656">
        <f aca="true" t="shared" si="2" ref="O4:O36">IF(J4+K4=0,0,L4-N4)</f>
        <v>-0.06922169370814402</v>
      </c>
      <c r="P4" s="657">
        <v>0.7</v>
      </c>
      <c r="Q4" s="657">
        <v>5</v>
      </c>
      <c r="R4" s="658">
        <f aca="true" t="shared" si="3" ref="R4:R36">IF(J4+K4=0,"",(L4-20)/P4)</f>
        <v>29.043969008988366</v>
      </c>
      <c r="S4" s="659">
        <f aca="true" t="shared" si="4" ref="S4:S36">IF(J4+K4=0,"",(L4-20)/Q4)</f>
        <v>4.066155661258371</v>
      </c>
      <c r="T4" s="660">
        <f aca="true" t="shared" si="5" ref="T4:T37">IF(E4=0,0,F4/E4)</f>
        <v>0</v>
      </c>
      <c r="U4" s="661">
        <v>3</v>
      </c>
      <c r="V4" s="662"/>
      <c r="W4" s="662"/>
      <c r="X4" s="662">
        <v>1</v>
      </c>
      <c r="Y4" s="663">
        <f aca="true" t="shared" si="6" ref="Y4:Y10">X4/U4</f>
        <v>0.3333333333333333</v>
      </c>
      <c r="Z4" s="664"/>
      <c r="AA4" s="665"/>
      <c r="AB4" s="665"/>
      <c r="AC4" s="665"/>
      <c r="AD4" s="666"/>
    </row>
    <row r="5" spans="1:30" s="127" customFormat="1" ht="11.25">
      <c r="A5" s="668" t="s">
        <v>294</v>
      </c>
      <c r="B5" s="644">
        <v>2</v>
      </c>
      <c r="C5" s="669">
        <f>C4</f>
        <v>0</v>
      </c>
      <c r="D5" s="646">
        <v>39480</v>
      </c>
      <c r="E5" s="670">
        <v>60</v>
      </c>
      <c r="F5" s="671">
        <v>68.72</v>
      </c>
      <c r="G5" s="649" t="s">
        <v>295</v>
      </c>
      <c r="H5" s="650" t="s">
        <v>296</v>
      </c>
      <c r="I5" s="651">
        <v>22.3</v>
      </c>
      <c r="J5" s="627">
        <f t="shared" si="0"/>
        <v>100.12673587685342</v>
      </c>
      <c r="K5" s="672">
        <v>0</v>
      </c>
      <c r="L5" s="669">
        <v>100</v>
      </c>
      <c r="M5" s="654">
        <v>2</v>
      </c>
      <c r="N5" s="655">
        <f t="shared" si="1"/>
        <v>100</v>
      </c>
      <c r="O5" s="656">
        <f t="shared" si="2"/>
        <v>0</v>
      </c>
      <c r="P5" s="657">
        <f aca="true" t="shared" si="7" ref="P5:Q7">P4</f>
        <v>0.7</v>
      </c>
      <c r="Q5" s="657">
        <f t="shared" si="7"/>
        <v>5</v>
      </c>
      <c r="R5" s="658">
        <f t="shared" si="3"/>
        <v>114.28571428571429</v>
      </c>
      <c r="S5" s="659">
        <f t="shared" si="4"/>
        <v>16</v>
      </c>
      <c r="T5" s="660">
        <f t="shared" si="5"/>
        <v>1.1453333333333333</v>
      </c>
      <c r="U5" s="673">
        <v>4</v>
      </c>
      <c r="V5" s="672">
        <v>0.629</v>
      </c>
      <c r="W5" s="672">
        <v>1180</v>
      </c>
      <c r="X5" s="672">
        <v>1.2</v>
      </c>
      <c r="Y5" s="663">
        <f t="shared" si="6"/>
        <v>0.3</v>
      </c>
      <c r="Z5" s="674"/>
      <c r="AA5" s="675"/>
      <c r="AB5" s="675"/>
      <c r="AC5" s="675"/>
      <c r="AD5" s="676"/>
    </row>
    <row r="6" spans="1:30" s="127" customFormat="1" ht="11.25">
      <c r="A6" s="668" t="s">
        <v>297</v>
      </c>
      <c r="B6" s="644">
        <v>5</v>
      </c>
      <c r="C6" s="669">
        <v>18</v>
      </c>
      <c r="D6" s="646">
        <v>39487</v>
      </c>
      <c r="E6" s="670"/>
      <c r="F6" s="671"/>
      <c r="G6" s="649"/>
      <c r="H6" s="650"/>
      <c r="I6" s="677">
        <v>19.5</v>
      </c>
      <c r="J6" s="627">
        <f t="shared" si="0"/>
        <v>86.57733022571438</v>
      </c>
      <c r="K6" s="672">
        <v>0</v>
      </c>
      <c r="L6" s="653">
        <f>IF(J6+K6=0,L5,J6+K6)</f>
        <v>86.57733022571438</v>
      </c>
      <c r="M6" s="654">
        <v>4.3</v>
      </c>
      <c r="N6" s="655">
        <f t="shared" si="1"/>
        <v>87.1</v>
      </c>
      <c r="O6" s="656">
        <f t="shared" si="2"/>
        <v>-0.5226697742856175</v>
      </c>
      <c r="P6" s="657">
        <f t="shared" si="7"/>
        <v>0.7</v>
      </c>
      <c r="Q6" s="657">
        <f t="shared" si="7"/>
        <v>5</v>
      </c>
      <c r="R6" s="658">
        <f t="shared" si="3"/>
        <v>95.11047175102054</v>
      </c>
      <c r="S6" s="659">
        <f t="shared" si="4"/>
        <v>13.315466045142875</v>
      </c>
      <c r="T6" s="660">
        <f t="shared" si="5"/>
        <v>0</v>
      </c>
      <c r="U6" s="673">
        <v>5</v>
      </c>
      <c r="V6" s="672">
        <v>0.622</v>
      </c>
      <c r="W6" s="672">
        <v>1370</v>
      </c>
      <c r="X6" s="672">
        <v>1.8</v>
      </c>
      <c r="Y6" s="663">
        <f t="shared" si="6"/>
        <v>0.36</v>
      </c>
      <c r="Z6" s="674">
        <v>5.4</v>
      </c>
      <c r="AA6" s="675">
        <v>0.61</v>
      </c>
      <c r="AB6" s="675">
        <v>1480</v>
      </c>
      <c r="AC6" s="675">
        <v>2.1</v>
      </c>
      <c r="AD6" s="678">
        <f>AC6/Z6</f>
        <v>0.3888888888888889</v>
      </c>
    </row>
    <row r="7" spans="1:30" s="127" customFormat="1" ht="11.25">
      <c r="A7" s="668" t="s">
        <v>298</v>
      </c>
      <c r="B7" s="644">
        <v>5.8</v>
      </c>
      <c r="C7" s="645">
        <f aca="true" t="shared" si="8" ref="C7:C12">C6</f>
        <v>18</v>
      </c>
      <c r="D7" s="646">
        <v>39487</v>
      </c>
      <c r="E7" s="670"/>
      <c r="F7" s="671"/>
      <c r="G7" s="649"/>
      <c r="H7" s="650"/>
      <c r="I7" s="651">
        <v>19.1</v>
      </c>
      <c r="J7" s="627">
        <f t="shared" si="0"/>
        <v>84.66149177420297</v>
      </c>
      <c r="K7" s="672">
        <v>0</v>
      </c>
      <c r="L7" s="653">
        <f>IF(J7+K7=0,L6,J7+K7)</f>
        <v>84.66149177420297</v>
      </c>
      <c r="M7" s="654">
        <v>3</v>
      </c>
      <c r="N7" s="655">
        <f t="shared" si="1"/>
        <v>84.69999999999999</v>
      </c>
      <c r="O7" s="656">
        <f t="shared" si="2"/>
        <v>-0.03850822579701685</v>
      </c>
      <c r="P7" s="657">
        <f t="shared" si="7"/>
        <v>0.7</v>
      </c>
      <c r="Q7" s="657">
        <f t="shared" si="7"/>
        <v>5</v>
      </c>
      <c r="R7" s="658">
        <f t="shared" si="3"/>
        <v>92.37355967743282</v>
      </c>
      <c r="S7" s="659">
        <f t="shared" si="4"/>
        <v>12.932298354840594</v>
      </c>
      <c r="T7" s="660">
        <f t="shared" si="5"/>
        <v>0</v>
      </c>
      <c r="U7" s="673">
        <v>6</v>
      </c>
      <c r="V7" s="672">
        <v>0.611</v>
      </c>
      <c r="W7" s="672">
        <v>1650</v>
      </c>
      <c r="X7" s="672">
        <v>2.9</v>
      </c>
      <c r="Y7" s="663">
        <f t="shared" si="6"/>
        <v>0.48333333333333334</v>
      </c>
      <c r="Z7" s="674"/>
      <c r="AA7" s="675"/>
      <c r="AB7" s="675"/>
      <c r="AC7" s="675"/>
      <c r="AD7" s="676"/>
    </row>
    <row r="8" spans="1:30" s="127" customFormat="1" ht="11.25">
      <c r="A8" s="668" t="s">
        <v>299</v>
      </c>
      <c r="B8" s="644">
        <v>6.3</v>
      </c>
      <c r="C8" s="645">
        <f t="shared" si="8"/>
        <v>18</v>
      </c>
      <c r="D8" s="646">
        <v>39542</v>
      </c>
      <c r="E8" s="670"/>
      <c r="F8" s="671"/>
      <c r="G8" s="649"/>
      <c r="H8" s="650"/>
      <c r="I8" s="651">
        <v>18.6</v>
      </c>
      <c r="J8" s="627">
        <f t="shared" si="0"/>
        <v>82.27418912822712</v>
      </c>
      <c r="K8" s="672">
        <v>0</v>
      </c>
      <c r="L8" s="653">
        <f>IF(J8+K8=0,L7,J8+K8)</f>
        <v>82.27418912822712</v>
      </c>
      <c r="M8" s="654">
        <v>4.6</v>
      </c>
      <c r="N8" s="655">
        <f t="shared" si="1"/>
        <v>82.39999999999999</v>
      </c>
      <c r="O8" s="656">
        <f t="shared" si="2"/>
        <v>-0.12581087177287031</v>
      </c>
      <c r="P8" s="657">
        <v>0.7</v>
      </c>
      <c r="Q8" s="657">
        <v>5</v>
      </c>
      <c r="R8" s="658">
        <f t="shared" si="3"/>
        <v>88.96312732603874</v>
      </c>
      <c r="S8" s="659">
        <f t="shared" si="4"/>
        <v>12.454837825645424</v>
      </c>
      <c r="T8" s="660">
        <f t="shared" si="5"/>
        <v>0</v>
      </c>
      <c r="U8" s="673">
        <v>7</v>
      </c>
      <c r="V8" s="672">
        <v>0.624</v>
      </c>
      <c r="W8" s="672">
        <v>1950</v>
      </c>
      <c r="X8" s="672">
        <v>4.7</v>
      </c>
      <c r="Y8" s="663">
        <f t="shared" si="6"/>
        <v>0.6714285714285715</v>
      </c>
      <c r="Z8" s="674">
        <v>7</v>
      </c>
      <c r="AA8" s="675">
        <v>0.666</v>
      </c>
      <c r="AB8" s="675">
        <v>1950</v>
      </c>
      <c r="AC8" s="675">
        <v>4.3</v>
      </c>
      <c r="AD8" s="678">
        <f>AC8/Z8</f>
        <v>0.6142857142857142</v>
      </c>
    </row>
    <row r="9" spans="1:30" s="127" customFormat="1" ht="11.25">
      <c r="A9" s="668" t="s">
        <v>299</v>
      </c>
      <c r="B9" s="644">
        <v>6.6</v>
      </c>
      <c r="C9" s="645">
        <f t="shared" si="8"/>
        <v>18</v>
      </c>
      <c r="D9" s="646">
        <v>39542</v>
      </c>
      <c r="E9" s="670"/>
      <c r="F9" s="671"/>
      <c r="G9" s="649"/>
      <c r="H9" s="650"/>
      <c r="I9" s="651">
        <v>18.1</v>
      </c>
      <c r="J9" s="627">
        <f t="shared" si="0"/>
        <v>79.89538273993985</v>
      </c>
      <c r="K9" s="672">
        <v>0</v>
      </c>
      <c r="L9" s="669">
        <v>80</v>
      </c>
      <c r="M9" s="654">
        <v>8</v>
      </c>
      <c r="N9" s="655">
        <f t="shared" si="1"/>
        <v>80</v>
      </c>
      <c r="O9" s="656">
        <f t="shared" si="2"/>
        <v>0</v>
      </c>
      <c r="P9" s="657">
        <v>0.7</v>
      </c>
      <c r="Q9" s="657">
        <v>5</v>
      </c>
      <c r="R9" s="658">
        <f t="shared" si="3"/>
        <v>85.71428571428572</v>
      </c>
      <c r="S9" s="659">
        <f t="shared" si="4"/>
        <v>12</v>
      </c>
      <c r="T9" s="660">
        <f t="shared" si="5"/>
        <v>0</v>
      </c>
      <c r="U9" s="673">
        <v>8</v>
      </c>
      <c r="V9" s="672">
        <v>0.622</v>
      </c>
      <c r="W9" s="672">
        <v>2400</v>
      </c>
      <c r="X9" s="672">
        <v>8</v>
      </c>
      <c r="Y9" s="663">
        <f t="shared" si="6"/>
        <v>1</v>
      </c>
      <c r="Z9" s="674"/>
      <c r="AA9" s="675"/>
      <c r="AB9" s="675"/>
      <c r="AC9" s="675"/>
      <c r="AD9" s="676"/>
    </row>
    <row r="10" spans="1:30" s="127" customFormat="1" ht="11.25">
      <c r="A10" s="668" t="s">
        <v>300</v>
      </c>
      <c r="B10" s="679">
        <f>B9</f>
        <v>6.6</v>
      </c>
      <c r="C10" s="645">
        <f t="shared" si="8"/>
        <v>18</v>
      </c>
      <c r="D10" s="646">
        <v>39542</v>
      </c>
      <c r="E10" s="670">
        <v>40</v>
      </c>
      <c r="F10" s="671">
        <f>1.194*40</f>
        <v>47.76</v>
      </c>
      <c r="G10" s="649" t="s">
        <v>301</v>
      </c>
      <c r="H10" s="650" t="s">
        <v>296</v>
      </c>
      <c r="I10" s="651">
        <v>26.3</v>
      </c>
      <c r="J10" s="627">
        <f t="shared" si="0"/>
        <v>119.8139981952637</v>
      </c>
      <c r="K10" s="672">
        <v>0</v>
      </c>
      <c r="L10" s="669">
        <v>120</v>
      </c>
      <c r="M10" s="654">
        <v>0</v>
      </c>
      <c r="N10" s="655">
        <f t="shared" si="1"/>
        <v>120</v>
      </c>
      <c r="O10" s="656">
        <f t="shared" si="2"/>
        <v>0</v>
      </c>
      <c r="P10" s="657">
        <f aca="true" t="shared" si="9" ref="P10:P36">P9</f>
        <v>0.7</v>
      </c>
      <c r="Q10" s="657">
        <f aca="true" t="shared" si="10" ref="Q10:Q36">Q9</f>
        <v>5</v>
      </c>
      <c r="R10" s="658">
        <f t="shared" si="3"/>
        <v>142.85714285714286</v>
      </c>
      <c r="S10" s="659">
        <f t="shared" si="4"/>
        <v>20</v>
      </c>
      <c r="T10" s="660">
        <f t="shared" si="5"/>
        <v>1.194</v>
      </c>
      <c r="U10" s="680">
        <v>9</v>
      </c>
      <c r="V10" s="681">
        <v>0.613</v>
      </c>
      <c r="W10" s="681">
        <v>3000</v>
      </c>
      <c r="X10" s="681">
        <v>18</v>
      </c>
      <c r="Y10" s="682">
        <f t="shared" si="6"/>
        <v>2</v>
      </c>
      <c r="Z10" s="683">
        <v>8.45</v>
      </c>
      <c r="AA10" s="684">
        <v>0.622</v>
      </c>
      <c r="AB10" s="684">
        <v>2700</v>
      </c>
      <c r="AC10" s="684">
        <v>12</v>
      </c>
      <c r="AD10" s="685">
        <f>AC10/Z10</f>
        <v>1.4201183431952664</v>
      </c>
    </row>
    <row r="11" spans="1:20" ht="11.25">
      <c r="A11" s="668" t="s">
        <v>300</v>
      </c>
      <c r="B11" s="679">
        <f>B10</f>
        <v>6.6</v>
      </c>
      <c r="C11" s="645">
        <f t="shared" si="8"/>
        <v>18</v>
      </c>
      <c r="D11" s="646">
        <v>39547</v>
      </c>
      <c r="E11" s="670">
        <v>40</v>
      </c>
      <c r="F11" s="671">
        <v>49.97</v>
      </c>
      <c r="G11" s="649" t="s">
        <v>301</v>
      </c>
      <c r="H11" s="650" t="s">
        <v>296</v>
      </c>
      <c r="I11" s="651">
        <v>34.7</v>
      </c>
      <c r="J11" s="686">
        <v>160</v>
      </c>
      <c r="K11" s="672">
        <v>0</v>
      </c>
      <c r="L11" s="669">
        <v>160</v>
      </c>
      <c r="M11" s="654">
        <f>M10</f>
        <v>0</v>
      </c>
      <c r="N11" s="655">
        <f t="shared" si="1"/>
        <v>160</v>
      </c>
      <c r="O11" s="656">
        <f t="shared" si="2"/>
        <v>0</v>
      </c>
      <c r="P11" s="657">
        <f t="shared" si="9"/>
        <v>0.7</v>
      </c>
      <c r="Q11" s="657">
        <f t="shared" si="10"/>
        <v>5</v>
      </c>
      <c r="R11" s="658">
        <f t="shared" si="3"/>
        <v>200</v>
      </c>
      <c r="S11" s="659">
        <f t="shared" si="4"/>
        <v>28</v>
      </c>
      <c r="T11" s="660">
        <f t="shared" si="5"/>
        <v>1.24925</v>
      </c>
    </row>
    <row r="12" spans="1:20" ht="11.25">
      <c r="A12" s="668" t="s">
        <v>302</v>
      </c>
      <c r="B12" s="644">
        <v>10.5</v>
      </c>
      <c r="C12" s="645">
        <f t="shared" si="8"/>
        <v>18</v>
      </c>
      <c r="D12" s="646">
        <v>39620</v>
      </c>
      <c r="E12" s="670"/>
      <c r="F12" s="671"/>
      <c r="G12" s="649"/>
      <c r="H12" s="650"/>
      <c r="I12" s="651">
        <v>31.4</v>
      </c>
      <c r="J12" s="627">
        <f aca="true" t="shared" si="11" ref="J12:J36">IF(I12&gt;2,IF(I12&lt;34,(4.675*(I12-2)+7-2.45*SIN(3.14*(I12-3)/26)),0),0)</f>
        <v>145.14148163203785</v>
      </c>
      <c r="K12" s="672">
        <v>0</v>
      </c>
      <c r="L12" s="653">
        <f aca="true" t="shared" si="12" ref="L12:L36">IF(J12+K12=0,L11,J12+K12)</f>
        <v>145.14148163203785</v>
      </c>
      <c r="M12" s="654">
        <v>3.8</v>
      </c>
      <c r="N12" s="655">
        <f t="shared" si="1"/>
        <v>145.18</v>
      </c>
      <c r="O12" s="656">
        <f t="shared" si="2"/>
        <v>-0.0385183679621548</v>
      </c>
      <c r="P12" s="657">
        <f t="shared" si="9"/>
        <v>0.7</v>
      </c>
      <c r="Q12" s="657">
        <f t="shared" si="10"/>
        <v>5</v>
      </c>
      <c r="R12" s="658">
        <f t="shared" si="3"/>
        <v>178.77354518862552</v>
      </c>
      <c r="S12" s="659">
        <f t="shared" si="4"/>
        <v>25.02829632640757</v>
      </c>
      <c r="T12" s="660">
        <f t="shared" si="5"/>
        <v>0</v>
      </c>
    </row>
    <row r="13" spans="1:20" ht="11.25">
      <c r="A13" s="668" t="s">
        <v>303</v>
      </c>
      <c r="B13" s="644">
        <v>16</v>
      </c>
      <c r="C13" s="669">
        <v>46.1</v>
      </c>
      <c r="D13" s="646">
        <v>39627</v>
      </c>
      <c r="E13" s="670"/>
      <c r="F13" s="671"/>
      <c r="G13" s="649"/>
      <c r="H13" s="650"/>
      <c r="I13" s="651">
        <v>29.4</v>
      </c>
      <c r="J13" s="627">
        <f t="shared" si="11"/>
        <v>135.20941022145573</v>
      </c>
      <c r="K13" s="672">
        <v>0</v>
      </c>
      <c r="L13" s="653">
        <f t="shared" si="12"/>
        <v>135.20941022145573</v>
      </c>
      <c r="M13" s="654">
        <v>1.8</v>
      </c>
      <c r="N13" s="655">
        <f t="shared" si="1"/>
        <v>135.28</v>
      </c>
      <c r="O13" s="656">
        <f t="shared" si="2"/>
        <v>-0.0705897785442744</v>
      </c>
      <c r="P13" s="657">
        <f t="shared" si="9"/>
        <v>0.7</v>
      </c>
      <c r="Q13" s="657">
        <f t="shared" si="10"/>
        <v>5</v>
      </c>
      <c r="R13" s="658">
        <f t="shared" si="3"/>
        <v>164.58487174493678</v>
      </c>
      <c r="S13" s="659">
        <f t="shared" si="4"/>
        <v>23.041882044291146</v>
      </c>
      <c r="T13" s="660">
        <f t="shared" si="5"/>
        <v>0</v>
      </c>
    </row>
    <row r="14" spans="1:20" ht="11.25">
      <c r="A14" s="668" t="s">
        <v>304</v>
      </c>
      <c r="B14" s="644">
        <v>23.6</v>
      </c>
      <c r="C14" s="669">
        <v>83</v>
      </c>
      <c r="D14" s="646">
        <v>39628</v>
      </c>
      <c r="E14" s="670"/>
      <c r="F14" s="671"/>
      <c r="G14" s="649"/>
      <c r="H14" s="650"/>
      <c r="I14" s="651">
        <v>26.7</v>
      </c>
      <c r="J14" s="627">
        <f t="shared" si="11"/>
        <v>121.79693129680705</v>
      </c>
      <c r="K14" s="672">
        <v>0</v>
      </c>
      <c r="L14" s="653">
        <f t="shared" si="12"/>
        <v>121.79693129680705</v>
      </c>
      <c r="M14" s="654">
        <v>1.8</v>
      </c>
      <c r="N14" s="655">
        <f t="shared" si="1"/>
        <v>121.6</v>
      </c>
      <c r="O14" s="656">
        <f t="shared" si="2"/>
        <v>0.19693129680705113</v>
      </c>
      <c r="P14" s="657">
        <f t="shared" si="9"/>
        <v>0.7</v>
      </c>
      <c r="Q14" s="657">
        <f t="shared" si="10"/>
        <v>5</v>
      </c>
      <c r="R14" s="658">
        <f t="shared" si="3"/>
        <v>145.4241875668672</v>
      </c>
      <c r="S14" s="659">
        <f t="shared" si="4"/>
        <v>20.359386259361408</v>
      </c>
      <c r="T14" s="660">
        <f t="shared" si="5"/>
        <v>0</v>
      </c>
    </row>
    <row r="15" spans="1:20" ht="11.25">
      <c r="A15" s="668" t="s">
        <v>305</v>
      </c>
      <c r="B15" s="644">
        <v>29.9</v>
      </c>
      <c r="C15" s="669">
        <v>112.2</v>
      </c>
      <c r="D15" s="646">
        <v>39629</v>
      </c>
      <c r="E15" s="670"/>
      <c r="F15" s="671"/>
      <c r="G15" s="649"/>
      <c r="H15" s="650"/>
      <c r="I15" s="651">
        <v>23.6</v>
      </c>
      <c r="J15" s="627">
        <f t="shared" si="11"/>
        <v>106.48999653587678</v>
      </c>
      <c r="K15" s="672">
        <v>0</v>
      </c>
      <c r="L15" s="653">
        <f t="shared" si="12"/>
        <v>106.48999653587678</v>
      </c>
      <c r="M15" s="654">
        <v>2.3</v>
      </c>
      <c r="N15" s="655">
        <f t="shared" si="1"/>
        <v>107.11</v>
      </c>
      <c r="O15" s="656">
        <f t="shared" si="2"/>
        <v>-0.620003464123215</v>
      </c>
      <c r="P15" s="657">
        <f t="shared" si="9"/>
        <v>0.7</v>
      </c>
      <c r="Q15" s="657">
        <f t="shared" si="10"/>
        <v>5</v>
      </c>
      <c r="R15" s="658">
        <f t="shared" si="3"/>
        <v>123.55713790839542</v>
      </c>
      <c r="S15" s="659">
        <f t="shared" si="4"/>
        <v>17.297999307175356</v>
      </c>
      <c r="T15" s="660">
        <f t="shared" si="5"/>
        <v>0</v>
      </c>
    </row>
    <row r="16" spans="1:20" ht="11.25">
      <c r="A16" s="668"/>
      <c r="B16" s="679">
        <f aca="true" t="shared" si="13" ref="B16:B36">B15</f>
        <v>29.9</v>
      </c>
      <c r="C16" s="645">
        <f aca="true" t="shared" si="14" ref="C16:C36">C15</f>
        <v>112.2</v>
      </c>
      <c r="D16" s="646"/>
      <c r="E16" s="670"/>
      <c r="F16" s="671"/>
      <c r="G16" s="649"/>
      <c r="H16" s="650"/>
      <c r="I16" s="651"/>
      <c r="J16" s="627">
        <f t="shared" si="11"/>
        <v>0</v>
      </c>
      <c r="K16" s="672">
        <v>0</v>
      </c>
      <c r="L16" s="653">
        <f t="shared" si="12"/>
        <v>106.48999653587678</v>
      </c>
      <c r="M16" s="654">
        <f aca="true" t="shared" si="15" ref="M16:M36">M15</f>
        <v>2.3</v>
      </c>
      <c r="N16" s="655">
        <f t="shared" si="1"/>
        <v>0</v>
      </c>
      <c r="O16" s="656">
        <f t="shared" si="2"/>
        <v>0</v>
      </c>
      <c r="P16" s="657">
        <f t="shared" si="9"/>
        <v>0.7</v>
      </c>
      <c r="Q16" s="657">
        <f t="shared" si="10"/>
        <v>5</v>
      </c>
      <c r="R16" s="658">
        <f t="shared" si="3"/>
      </c>
      <c r="S16" s="659">
        <f t="shared" si="4"/>
      </c>
      <c r="T16" s="660">
        <f t="shared" si="5"/>
        <v>0</v>
      </c>
    </row>
    <row r="17" spans="1:20" ht="11.25">
      <c r="A17" s="668"/>
      <c r="B17" s="679">
        <f t="shared" si="13"/>
        <v>29.9</v>
      </c>
      <c r="C17" s="645">
        <f t="shared" si="14"/>
        <v>112.2</v>
      </c>
      <c r="D17" s="646"/>
      <c r="E17" s="670"/>
      <c r="F17" s="671"/>
      <c r="G17" s="649"/>
      <c r="H17" s="650"/>
      <c r="I17" s="651"/>
      <c r="J17" s="627">
        <f t="shared" si="11"/>
        <v>0</v>
      </c>
      <c r="K17" s="672">
        <v>0</v>
      </c>
      <c r="L17" s="653">
        <f t="shared" si="12"/>
        <v>106.48999653587678</v>
      </c>
      <c r="M17" s="654">
        <f t="shared" si="15"/>
        <v>2.3</v>
      </c>
      <c r="N17" s="655">
        <f t="shared" si="1"/>
        <v>0</v>
      </c>
      <c r="O17" s="656">
        <f t="shared" si="2"/>
        <v>0</v>
      </c>
      <c r="P17" s="657">
        <f t="shared" si="9"/>
        <v>0.7</v>
      </c>
      <c r="Q17" s="657">
        <f t="shared" si="10"/>
        <v>5</v>
      </c>
      <c r="R17" s="658">
        <f t="shared" si="3"/>
      </c>
      <c r="S17" s="659">
        <f t="shared" si="4"/>
      </c>
      <c r="T17" s="660">
        <f t="shared" si="5"/>
        <v>0</v>
      </c>
    </row>
    <row r="18" spans="1:20" ht="11.25">
      <c r="A18" s="668"/>
      <c r="B18" s="679">
        <f t="shared" si="13"/>
        <v>29.9</v>
      </c>
      <c r="C18" s="645">
        <f t="shared" si="14"/>
        <v>112.2</v>
      </c>
      <c r="D18" s="646"/>
      <c r="E18" s="670"/>
      <c r="F18" s="671"/>
      <c r="G18" s="649"/>
      <c r="H18" s="650"/>
      <c r="I18" s="651"/>
      <c r="J18" s="627">
        <f t="shared" si="11"/>
        <v>0</v>
      </c>
      <c r="K18" s="672">
        <v>0</v>
      </c>
      <c r="L18" s="653">
        <f t="shared" si="12"/>
        <v>106.48999653587678</v>
      </c>
      <c r="M18" s="654">
        <f t="shared" si="15"/>
        <v>2.3</v>
      </c>
      <c r="N18" s="655">
        <f t="shared" si="1"/>
        <v>0</v>
      </c>
      <c r="O18" s="656">
        <f t="shared" si="2"/>
        <v>0</v>
      </c>
      <c r="P18" s="657">
        <f t="shared" si="9"/>
        <v>0.7</v>
      </c>
      <c r="Q18" s="657">
        <f t="shared" si="10"/>
        <v>5</v>
      </c>
      <c r="R18" s="658">
        <f t="shared" si="3"/>
      </c>
      <c r="S18" s="659">
        <f t="shared" si="4"/>
      </c>
      <c r="T18" s="660">
        <f t="shared" si="5"/>
        <v>0</v>
      </c>
    </row>
    <row r="19" spans="1:20" ht="11.25">
      <c r="A19" s="668"/>
      <c r="B19" s="679">
        <f t="shared" si="13"/>
        <v>29.9</v>
      </c>
      <c r="C19" s="645">
        <f t="shared" si="14"/>
        <v>112.2</v>
      </c>
      <c r="D19" s="646"/>
      <c r="E19" s="670"/>
      <c r="F19" s="671"/>
      <c r="G19" s="649"/>
      <c r="H19" s="650"/>
      <c r="I19" s="651"/>
      <c r="J19" s="627">
        <f t="shared" si="11"/>
        <v>0</v>
      </c>
      <c r="K19" s="672">
        <v>0</v>
      </c>
      <c r="L19" s="653">
        <f t="shared" si="12"/>
        <v>106.48999653587678</v>
      </c>
      <c r="M19" s="654">
        <f t="shared" si="15"/>
        <v>2.3</v>
      </c>
      <c r="N19" s="655">
        <f t="shared" si="1"/>
        <v>0</v>
      </c>
      <c r="O19" s="656">
        <f t="shared" si="2"/>
        <v>0</v>
      </c>
      <c r="P19" s="657">
        <f t="shared" si="9"/>
        <v>0.7</v>
      </c>
      <c r="Q19" s="657">
        <f t="shared" si="10"/>
        <v>5</v>
      </c>
      <c r="R19" s="658">
        <f t="shared" si="3"/>
      </c>
      <c r="S19" s="659">
        <f t="shared" si="4"/>
      </c>
      <c r="T19" s="660">
        <f t="shared" si="5"/>
        <v>0</v>
      </c>
    </row>
    <row r="20" spans="1:20" ht="11.25">
      <c r="A20" s="668"/>
      <c r="B20" s="679">
        <f t="shared" si="13"/>
        <v>29.9</v>
      </c>
      <c r="C20" s="645">
        <f t="shared" si="14"/>
        <v>112.2</v>
      </c>
      <c r="D20" s="646"/>
      <c r="E20" s="670"/>
      <c r="F20" s="671"/>
      <c r="G20" s="649"/>
      <c r="H20" s="650"/>
      <c r="I20" s="651"/>
      <c r="J20" s="627">
        <f t="shared" si="11"/>
        <v>0</v>
      </c>
      <c r="K20" s="672">
        <v>0</v>
      </c>
      <c r="L20" s="653">
        <f t="shared" si="12"/>
        <v>106.48999653587678</v>
      </c>
      <c r="M20" s="654">
        <f t="shared" si="15"/>
        <v>2.3</v>
      </c>
      <c r="N20" s="655">
        <f t="shared" si="1"/>
        <v>0</v>
      </c>
      <c r="O20" s="656">
        <f t="shared" si="2"/>
        <v>0</v>
      </c>
      <c r="P20" s="657">
        <f t="shared" si="9"/>
        <v>0.7</v>
      </c>
      <c r="Q20" s="657">
        <f t="shared" si="10"/>
        <v>5</v>
      </c>
      <c r="R20" s="658">
        <f t="shared" si="3"/>
      </c>
      <c r="S20" s="659">
        <f t="shared" si="4"/>
      </c>
      <c r="T20" s="660">
        <f t="shared" si="5"/>
        <v>0</v>
      </c>
    </row>
    <row r="21" spans="1:20" ht="11.25">
      <c r="A21" s="668"/>
      <c r="B21" s="679">
        <f t="shared" si="13"/>
        <v>29.9</v>
      </c>
      <c r="C21" s="645">
        <f t="shared" si="14"/>
        <v>112.2</v>
      </c>
      <c r="D21" s="646"/>
      <c r="E21" s="670"/>
      <c r="F21" s="671"/>
      <c r="G21" s="649"/>
      <c r="H21" s="650"/>
      <c r="I21" s="651"/>
      <c r="J21" s="627">
        <f t="shared" si="11"/>
        <v>0</v>
      </c>
      <c r="K21" s="672">
        <v>0</v>
      </c>
      <c r="L21" s="653">
        <f t="shared" si="12"/>
        <v>106.48999653587678</v>
      </c>
      <c r="M21" s="654">
        <f t="shared" si="15"/>
        <v>2.3</v>
      </c>
      <c r="N21" s="655">
        <f t="shared" si="1"/>
        <v>0</v>
      </c>
      <c r="O21" s="656">
        <f t="shared" si="2"/>
        <v>0</v>
      </c>
      <c r="P21" s="657">
        <f t="shared" si="9"/>
        <v>0.7</v>
      </c>
      <c r="Q21" s="657">
        <f t="shared" si="10"/>
        <v>5</v>
      </c>
      <c r="R21" s="658">
        <f t="shared" si="3"/>
      </c>
      <c r="S21" s="659">
        <f t="shared" si="4"/>
      </c>
      <c r="T21" s="660">
        <f t="shared" si="5"/>
        <v>0</v>
      </c>
    </row>
    <row r="22" spans="1:20" ht="11.25">
      <c r="A22" s="668"/>
      <c r="B22" s="679">
        <f t="shared" si="13"/>
        <v>29.9</v>
      </c>
      <c r="C22" s="645">
        <f t="shared" si="14"/>
        <v>112.2</v>
      </c>
      <c r="D22" s="646"/>
      <c r="E22" s="670"/>
      <c r="F22" s="671"/>
      <c r="G22" s="649"/>
      <c r="H22" s="650"/>
      <c r="I22" s="651"/>
      <c r="J22" s="627">
        <f t="shared" si="11"/>
        <v>0</v>
      </c>
      <c r="K22" s="672">
        <v>0</v>
      </c>
      <c r="L22" s="653">
        <f t="shared" si="12"/>
        <v>106.48999653587678</v>
      </c>
      <c r="M22" s="654">
        <f t="shared" si="15"/>
        <v>2.3</v>
      </c>
      <c r="N22" s="655">
        <f t="shared" si="1"/>
        <v>0</v>
      </c>
      <c r="O22" s="656">
        <f t="shared" si="2"/>
        <v>0</v>
      </c>
      <c r="P22" s="657">
        <f t="shared" si="9"/>
        <v>0.7</v>
      </c>
      <c r="Q22" s="657">
        <f t="shared" si="10"/>
        <v>5</v>
      </c>
      <c r="R22" s="658">
        <f t="shared" si="3"/>
      </c>
      <c r="S22" s="659">
        <f t="shared" si="4"/>
      </c>
      <c r="T22" s="660">
        <f t="shared" si="5"/>
        <v>0</v>
      </c>
    </row>
    <row r="23" spans="1:20" ht="11.25">
      <c r="A23" s="668"/>
      <c r="B23" s="679">
        <f t="shared" si="13"/>
        <v>29.9</v>
      </c>
      <c r="C23" s="645">
        <f t="shared" si="14"/>
        <v>112.2</v>
      </c>
      <c r="D23" s="646"/>
      <c r="E23" s="670"/>
      <c r="F23" s="671"/>
      <c r="G23" s="649"/>
      <c r="H23" s="650"/>
      <c r="I23" s="651"/>
      <c r="J23" s="627">
        <f t="shared" si="11"/>
        <v>0</v>
      </c>
      <c r="K23" s="672">
        <v>0</v>
      </c>
      <c r="L23" s="653">
        <f t="shared" si="12"/>
        <v>106.48999653587678</v>
      </c>
      <c r="M23" s="654">
        <f t="shared" si="15"/>
        <v>2.3</v>
      </c>
      <c r="N23" s="655">
        <f t="shared" si="1"/>
        <v>0</v>
      </c>
      <c r="O23" s="656">
        <f t="shared" si="2"/>
        <v>0</v>
      </c>
      <c r="P23" s="657">
        <f t="shared" si="9"/>
        <v>0.7</v>
      </c>
      <c r="Q23" s="657">
        <f t="shared" si="10"/>
        <v>5</v>
      </c>
      <c r="R23" s="658">
        <f t="shared" si="3"/>
      </c>
      <c r="S23" s="659">
        <f t="shared" si="4"/>
      </c>
      <c r="T23" s="660">
        <f t="shared" si="5"/>
        <v>0</v>
      </c>
    </row>
    <row r="24" spans="1:20" ht="11.25">
      <c r="A24" s="668"/>
      <c r="B24" s="679">
        <f t="shared" si="13"/>
        <v>29.9</v>
      </c>
      <c r="C24" s="645">
        <f t="shared" si="14"/>
        <v>112.2</v>
      </c>
      <c r="D24" s="646"/>
      <c r="E24" s="670"/>
      <c r="F24" s="671"/>
      <c r="G24" s="649"/>
      <c r="H24" s="650"/>
      <c r="I24" s="651"/>
      <c r="J24" s="627">
        <f t="shared" si="11"/>
        <v>0</v>
      </c>
      <c r="K24" s="672">
        <v>0</v>
      </c>
      <c r="L24" s="653">
        <f t="shared" si="12"/>
        <v>106.48999653587678</v>
      </c>
      <c r="M24" s="654">
        <f t="shared" si="15"/>
        <v>2.3</v>
      </c>
      <c r="N24" s="655">
        <f t="shared" si="1"/>
        <v>0</v>
      </c>
      <c r="O24" s="656">
        <f t="shared" si="2"/>
        <v>0</v>
      </c>
      <c r="P24" s="657">
        <f t="shared" si="9"/>
        <v>0.7</v>
      </c>
      <c r="Q24" s="657">
        <f t="shared" si="10"/>
        <v>5</v>
      </c>
      <c r="R24" s="658">
        <f t="shared" si="3"/>
      </c>
      <c r="S24" s="659">
        <f t="shared" si="4"/>
      </c>
      <c r="T24" s="660">
        <f t="shared" si="5"/>
        <v>0</v>
      </c>
    </row>
    <row r="25" spans="1:20" ht="11.25">
      <c r="A25" s="668"/>
      <c r="B25" s="679">
        <f t="shared" si="13"/>
        <v>29.9</v>
      </c>
      <c r="C25" s="645">
        <f t="shared" si="14"/>
        <v>112.2</v>
      </c>
      <c r="D25" s="646"/>
      <c r="E25" s="670"/>
      <c r="F25" s="671"/>
      <c r="G25" s="649"/>
      <c r="H25" s="650"/>
      <c r="I25" s="651"/>
      <c r="J25" s="627">
        <f t="shared" si="11"/>
        <v>0</v>
      </c>
      <c r="K25" s="672">
        <v>0</v>
      </c>
      <c r="L25" s="653">
        <f t="shared" si="12"/>
        <v>106.48999653587678</v>
      </c>
      <c r="M25" s="654">
        <f t="shared" si="15"/>
        <v>2.3</v>
      </c>
      <c r="N25" s="655">
        <f t="shared" si="1"/>
        <v>0</v>
      </c>
      <c r="O25" s="656">
        <f t="shared" si="2"/>
        <v>0</v>
      </c>
      <c r="P25" s="657">
        <f t="shared" si="9"/>
        <v>0.7</v>
      </c>
      <c r="Q25" s="657">
        <f t="shared" si="10"/>
        <v>5</v>
      </c>
      <c r="R25" s="658">
        <f t="shared" si="3"/>
      </c>
      <c r="S25" s="659">
        <f t="shared" si="4"/>
      </c>
      <c r="T25" s="660">
        <f t="shared" si="5"/>
        <v>0</v>
      </c>
    </row>
    <row r="26" spans="1:20" ht="11.25">
      <c r="A26" s="668"/>
      <c r="B26" s="679">
        <f t="shared" si="13"/>
        <v>29.9</v>
      </c>
      <c r="C26" s="645">
        <f t="shared" si="14"/>
        <v>112.2</v>
      </c>
      <c r="D26" s="646"/>
      <c r="E26" s="670"/>
      <c r="F26" s="671"/>
      <c r="G26" s="649"/>
      <c r="H26" s="650"/>
      <c r="I26" s="651"/>
      <c r="J26" s="627">
        <f t="shared" si="11"/>
        <v>0</v>
      </c>
      <c r="K26" s="672">
        <v>0</v>
      </c>
      <c r="L26" s="653">
        <f t="shared" si="12"/>
        <v>106.48999653587678</v>
      </c>
      <c r="M26" s="654">
        <f t="shared" si="15"/>
        <v>2.3</v>
      </c>
      <c r="N26" s="655">
        <f t="shared" si="1"/>
        <v>0</v>
      </c>
      <c r="O26" s="656">
        <f t="shared" si="2"/>
        <v>0</v>
      </c>
      <c r="P26" s="657">
        <f t="shared" si="9"/>
        <v>0.7</v>
      </c>
      <c r="Q26" s="657">
        <f t="shared" si="10"/>
        <v>5</v>
      </c>
      <c r="R26" s="658">
        <f t="shared" si="3"/>
      </c>
      <c r="S26" s="659">
        <f t="shared" si="4"/>
      </c>
      <c r="T26" s="660">
        <f t="shared" si="5"/>
        <v>0</v>
      </c>
    </row>
    <row r="27" spans="1:20" ht="11.25">
      <c r="A27" s="668"/>
      <c r="B27" s="679">
        <f t="shared" si="13"/>
        <v>29.9</v>
      </c>
      <c r="C27" s="645">
        <f t="shared" si="14"/>
        <v>112.2</v>
      </c>
      <c r="D27" s="646"/>
      <c r="E27" s="670"/>
      <c r="F27" s="671"/>
      <c r="G27" s="649"/>
      <c r="H27" s="650"/>
      <c r="I27" s="651"/>
      <c r="J27" s="627">
        <f t="shared" si="11"/>
        <v>0</v>
      </c>
      <c r="K27" s="672">
        <v>0</v>
      </c>
      <c r="L27" s="653">
        <f t="shared" si="12"/>
        <v>106.48999653587678</v>
      </c>
      <c r="M27" s="654">
        <f t="shared" si="15"/>
        <v>2.3</v>
      </c>
      <c r="N27" s="655">
        <f t="shared" si="1"/>
        <v>0</v>
      </c>
      <c r="O27" s="656">
        <f t="shared" si="2"/>
        <v>0</v>
      </c>
      <c r="P27" s="657">
        <f t="shared" si="9"/>
        <v>0.7</v>
      </c>
      <c r="Q27" s="657">
        <f t="shared" si="10"/>
        <v>5</v>
      </c>
      <c r="R27" s="658">
        <f t="shared" si="3"/>
      </c>
      <c r="S27" s="659">
        <f t="shared" si="4"/>
      </c>
      <c r="T27" s="660">
        <f t="shared" si="5"/>
        <v>0</v>
      </c>
    </row>
    <row r="28" spans="1:20" ht="11.25">
      <c r="A28" s="668"/>
      <c r="B28" s="679">
        <f t="shared" si="13"/>
        <v>29.9</v>
      </c>
      <c r="C28" s="645">
        <f t="shared" si="14"/>
        <v>112.2</v>
      </c>
      <c r="D28" s="646"/>
      <c r="E28" s="670"/>
      <c r="F28" s="671"/>
      <c r="G28" s="649"/>
      <c r="H28" s="650"/>
      <c r="I28" s="651"/>
      <c r="J28" s="627">
        <f t="shared" si="11"/>
        <v>0</v>
      </c>
      <c r="K28" s="672">
        <v>0</v>
      </c>
      <c r="L28" s="653">
        <f t="shared" si="12"/>
        <v>106.48999653587678</v>
      </c>
      <c r="M28" s="654">
        <f t="shared" si="15"/>
        <v>2.3</v>
      </c>
      <c r="N28" s="655">
        <f t="shared" si="1"/>
        <v>0</v>
      </c>
      <c r="O28" s="656">
        <f t="shared" si="2"/>
        <v>0</v>
      </c>
      <c r="P28" s="657">
        <f t="shared" si="9"/>
        <v>0.7</v>
      </c>
      <c r="Q28" s="657">
        <f t="shared" si="10"/>
        <v>5</v>
      </c>
      <c r="R28" s="658">
        <f t="shared" si="3"/>
      </c>
      <c r="S28" s="659">
        <f t="shared" si="4"/>
      </c>
      <c r="T28" s="660">
        <f t="shared" si="5"/>
        <v>0</v>
      </c>
    </row>
    <row r="29" spans="1:20" ht="11.25">
      <c r="A29" s="668"/>
      <c r="B29" s="679">
        <f t="shared" si="13"/>
        <v>29.9</v>
      </c>
      <c r="C29" s="645">
        <f t="shared" si="14"/>
        <v>112.2</v>
      </c>
      <c r="D29" s="646"/>
      <c r="E29" s="670"/>
      <c r="F29" s="671"/>
      <c r="G29" s="649"/>
      <c r="H29" s="650"/>
      <c r="I29" s="651"/>
      <c r="J29" s="627">
        <f t="shared" si="11"/>
        <v>0</v>
      </c>
      <c r="K29" s="672">
        <v>0</v>
      </c>
      <c r="L29" s="653">
        <f t="shared" si="12"/>
        <v>106.48999653587678</v>
      </c>
      <c r="M29" s="654">
        <f t="shared" si="15"/>
        <v>2.3</v>
      </c>
      <c r="N29" s="655">
        <f t="shared" si="1"/>
        <v>0</v>
      </c>
      <c r="O29" s="656">
        <f t="shared" si="2"/>
        <v>0</v>
      </c>
      <c r="P29" s="657">
        <f t="shared" si="9"/>
        <v>0.7</v>
      </c>
      <c r="Q29" s="657">
        <f t="shared" si="10"/>
        <v>5</v>
      </c>
      <c r="R29" s="658">
        <f t="shared" si="3"/>
      </c>
      <c r="S29" s="659">
        <f t="shared" si="4"/>
      </c>
      <c r="T29" s="660">
        <f t="shared" si="5"/>
        <v>0</v>
      </c>
    </row>
    <row r="30" spans="1:20" ht="11.25">
      <c r="A30" s="668"/>
      <c r="B30" s="679">
        <f t="shared" si="13"/>
        <v>29.9</v>
      </c>
      <c r="C30" s="645">
        <f t="shared" si="14"/>
        <v>112.2</v>
      </c>
      <c r="D30" s="646"/>
      <c r="E30" s="670"/>
      <c r="F30" s="671"/>
      <c r="G30" s="649"/>
      <c r="H30" s="650"/>
      <c r="I30" s="651"/>
      <c r="J30" s="627">
        <f t="shared" si="11"/>
        <v>0</v>
      </c>
      <c r="K30" s="672">
        <v>0</v>
      </c>
      <c r="L30" s="653">
        <f t="shared" si="12"/>
        <v>106.48999653587678</v>
      </c>
      <c r="M30" s="654">
        <f t="shared" si="15"/>
        <v>2.3</v>
      </c>
      <c r="N30" s="655">
        <f t="shared" si="1"/>
        <v>0</v>
      </c>
      <c r="O30" s="656">
        <f t="shared" si="2"/>
        <v>0</v>
      </c>
      <c r="P30" s="657">
        <f t="shared" si="9"/>
        <v>0.7</v>
      </c>
      <c r="Q30" s="657">
        <f t="shared" si="10"/>
        <v>5</v>
      </c>
      <c r="R30" s="658">
        <f t="shared" si="3"/>
      </c>
      <c r="S30" s="659">
        <f t="shared" si="4"/>
      </c>
      <c r="T30" s="660">
        <f t="shared" si="5"/>
        <v>0</v>
      </c>
    </row>
    <row r="31" spans="1:20" ht="11.25">
      <c r="A31" s="668"/>
      <c r="B31" s="679">
        <f t="shared" si="13"/>
        <v>29.9</v>
      </c>
      <c r="C31" s="645">
        <f t="shared" si="14"/>
        <v>112.2</v>
      </c>
      <c r="D31" s="646"/>
      <c r="E31" s="670"/>
      <c r="F31" s="671"/>
      <c r="G31" s="649"/>
      <c r="H31" s="650"/>
      <c r="I31" s="651"/>
      <c r="J31" s="627">
        <f t="shared" si="11"/>
        <v>0</v>
      </c>
      <c r="K31" s="672">
        <v>0</v>
      </c>
      <c r="L31" s="653">
        <f t="shared" si="12"/>
        <v>106.48999653587678</v>
      </c>
      <c r="M31" s="654">
        <f t="shared" si="15"/>
        <v>2.3</v>
      </c>
      <c r="N31" s="655">
        <f t="shared" si="1"/>
        <v>0</v>
      </c>
      <c r="O31" s="656">
        <f t="shared" si="2"/>
        <v>0</v>
      </c>
      <c r="P31" s="657">
        <f t="shared" si="9"/>
        <v>0.7</v>
      </c>
      <c r="Q31" s="657">
        <f t="shared" si="10"/>
        <v>5</v>
      </c>
      <c r="R31" s="658">
        <f t="shared" si="3"/>
      </c>
      <c r="S31" s="659">
        <f t="shared" si="4"/>
      </c>
      <c r="T31" s="660">
        <f t="shared" si="5"/>
        <v>0</v>
      </c>
    </row>
    <row r="32" spans="1:20" ht="11.25">
      <c r="A32" s="668"/>
      <c r="B32" s="679">
        <f t="shared" si="13"/>
        <v>29.9</v>
      </c>
      <c r="C32" s="645">
        <f t="shared" si="14"/>
        <v>112.2</v>
      </c>
      <c r="D32" s="646"/>
      <c r="E32" s="670"/>
      <c r="F32" s="671"/>
      <c r="G32" s="649"/>
      <c r="H32" s="650"/>
      <c r="I32" s="651"/>
      <c r="J32" s="627">
        <f t="shared" si="11"/>
        <v>0</v>
      </c>
      <c r="K32" s="672">
        <v>0</v>
      </c>
      <c r="L32" s="653">
        <f t="shared" si="12"/>
        <v>106.48999653587678</v>
      </c>
      <c r="M32" s="654">
        <f t="shared" si="15"/>
        <v>2.3</v>
      </c>
      <c r="N32" s="655">
        <f t="shared" si="1"/>
        <v>0</v>
      </c>
      <c r="O32" s="656">
        <f t="shared" si="2"/>
        <v>0</v>
      </c>
      <c r="P32" s="657">
        <f t="shared" si="9"/>
        <v>0.7</v>
      </c>
      <c r="Q32" s="657">
        <f t="shared" si="10"/>
        <v>5</v>
      </c>
      <c r="R32" s="658">
        <f t="shared" si="3"/>
      </c>
      <c r="S32" s="659">
        <f t="shared" si="4"/>
      </c>
      <c r="T32" s="660">
        <f t="shared" si="5"/>
        <v>0</v>
      </c>
    </row>
    <row r="33" spans="1:20" ht="11.25">
      <c r="A33" s="668"/>
      <c r="B33" s="679">
        <f t="shared" si="13"/>
        <v>29.9</v>
      </c>
      <c r="C33" s="645">
        <f t="shared" si="14"/>
        <v>112.2</v>
      </c>
      <c r="D33" s="646"/>
      <c r="E33" s="670"/>
      <c r="F33" s="671"/>
      <c r="G33" s="649"/>
      <c r="H33" s="650"/>
      <c r="I33" s="651"/>
      <c r="J33" s="627">
        <f t="shared" si="11"/>
        <v>0</v>
      </c>
      <c r="K33" s="672">
        <v>0</v>
      </c>
      <c r="L33" s="653">
        <f t="shared" si="12"/>
        <v>106.48999653587678</v>
      </c>
      <c r="M33" s="654">
        <f t="shared" si="15"/>
        <v>2.3</v>
      </c>
      <c r="N33" s="655">
        <f t="shared" si="1"/>
        <v>0</v>
      </c>
      <c r="O33" s="656">
        <f t="shared" si="2"/>
        <v>0</v>
      </c>
      <c r="P33" s="657">
        <f t="shared" si="9"/>
        <v>0.7</v>
      </c>
      <c r="Q33" s="657">
        <f t="shared" si="10"/>
        <v>5</v>
      </c>
      <c r="R33" s="658">
        <f t="shared" si="3"/>
      </c>
      <c r="S33" s="659">
        <f t="shared" si="4"/>
      </c>
      <c r="T33" s="660">
        <f t="shared" si="5"/>
        <v>0</v>
      </c>
    </row>
    <row r="34" spans="1:20" ht="11.25">
      <c r="A34" s="668"/>
      <c r="B34" s="679">
        <f t="shared" si="13"/>
        <v>29.9</v>
      </c>
      <c r="C34" s="645">
        <f t="shared" si="14"/>
        <v>112.2</v>
      </c>
      <c r="D34" s="646"/>
      <c r="E34" s="670"/>
      <c r="F34" s="671"/>
      <c r="G34" s="649"/>
      <c r="H34" s="650"/>
      <c r="I34" s="651"/>
      <c r="J34" s="627">
        <f t="shared" si="11"/>
        <v>0</v>
      </c>
      <c r="K34" s="672">
        <v>0</v>
      </c>
      <c r="L34" s="653">
        <f t="shared" si="12"/>
        <v>106.48999653587678</v>
      </c>
      <c r="M34" s="654">
        <f t="shared" si="15"/>
        <v>2.3</v>
      </c>
      <c r="N34" s="655">
        <f t="shared" si="1"/>
        <v>0</v>
      </c>
      <c r="O34" s="656">
        <f t="shared" si="2"/>
        <v>0</v>
      </c>
      <c r="P34" s="657">
        <f t="shared" si="9"/>
        <v>0.7</v>
      </c>
      <c r="Q34" s="657">
        <f t="shared" si="10"/>
        <v>5</v>
      </c>
      <c r="R34" s="658">
        <f t="shared" si="3"/>
      </c>
      <c r="S34" s="659">
        <f t="shared" si="4"/>
      </c>
      <c r="T34" s="660">
        <f t="shared" si="5"/>
        <v>0</v>
      </c>
    </row>
    <row r="35" spans="1:20" ht="11.25">
      <c r="A35" s="668"/>
      <c r="B35" s="679">
        <f t="shared" si="13"/>
        <v>29.9</v>
      </c>
      <c r="C35" s="645">
        <f t="shared" si="14"/>
        <v>112.2</v>
      </c>
      <c r="D35" s="646"/>
      <c r="E35" s="670"/>
      <c r="F35" s="671"/>
      <c r="G35" s="649"/>
      <c r="H35" s="650"/>
      <c r="I35" s="651"/>
      <c r="J35" s="627">
        <f t="shared" si="11"/>
        <v>0</v>
      </c>
      <c r="K35" s="672">
        <v>0</v>
      </c>
      <c r="L35" s="653">
        <f t="shared" si="12"/>
        <v>106.48999653587678</v>
      </c>
      <c r="M35" s="654">
        <f t="shared" si="15"/>
        <v>2.3</v>
      </c>
      <c r="N35" s="655">
        <f t="shared" si="1"/>
        <v>0</v>
      </c>
      <c r="O35" s="656">
        <f t="shared" si="2"/>
        <v>0</v>
      </c>
      <c r="P35" s="657">
        <f t="shared" si="9"/>
        <v>0.7</v>
      </c>
      <c r="Q35" s="657">
        <f t="shared" si="10"/>
        <v>5</v>
      </c>
      <c r="R35" s="658">
        <f t="shared" si="3"/>
      </c>
      <c r="S35" s="659">
        <f t="shared" si="4"/>
      </c>
      <c r="T35" s="660">
        <f t="shared" si="5"/>
        <v>0</v>
      </c>
    </row>
    <row r="36" spans="1:20" ht="11.25">
      <c r="A36" s="687"/>
      <c r="B36" s="688">
        <f t="shared" si="13"/>
        <v>29.9</v>
      </c>
      <c r="C36" s="689">
        <f t="shared" si="14"/>
        <v>112.2</v>
      </c>
      <c r="D36" s="690"/>
      <c r="E36" s="691"/>
      <c r="F36" s="692"/>
      <c r="G36" s="693"/>
      <c r="H36" s="694"/>
      <c r="I36" s="695"/>
      <c r="J36" s="696">
        <f t="shared" si="11"/>
        <v>0</v>
      </c>
      <c r="K36" s="697">
        <v>0</v>
      </c>
      <c r="L36" s="698">
        <f t="shared" si="12"/>
        <v>106.48999653587678</v>
      </c>
      <c r="M36" s="699">
        <f t="shared" si="15"/>
        <v>2.3</v>
      </c>
      <c r="N36" s="700">
        <f t="shared" si="1"/>
        <v>0</v>
      </c>
      <c r="O36" s="701">
        <f t="shared" si="2"/>
        <v>0</v>
      </c>
      <c r="P36" s="702">
        <f t="shared" si="9"/>
        <v>0.7</v>
      </c>
      <c r="Q36" s="657">
        <f t="shared" si="10"/>
        <v>5</v>
      </c>
      <c r="R36" s="658">
        <f t="shared" si="3"/>
      </c>
      <c r="S36" s="659">
        <f t="shared" si="4"/>
      </c>
      <c r="T36" s="703">
        <f t="shared" si="5"/>
        <v>0</v>
      </c>
    </row>
    <row r="37" spans="1:30" s="720" customFormat="1" ht="11.25">
      <c r="A37" s="704" t="s">
        <v>306</v>
      </c>
      <c r="B37" s="705">
        <f>(B36-B3)</f>
        <v>29.9</v>
      </c>
      <c r="C37" s="705">
        <f>C36-C4</f>
        <v>112.2</v>
      </c>
      <c r="D37" s="706"/>
      <c r="E37" s="707">
        <f>SUM(E5:E36)</f>
        <v>140</v>
      </c>
      <c r="F37" s="605">
        <f>SUM(F5:F36)</f>
        <v>166.45</v>
      </c>
      <c r="G37" s="584"/>
      <c r="H37" s="708"/>
      <c r="I37" s="709"/>
      <c r="J37" s="710"/>
      <c r="K37" s="711" t="s">
        <v>307</v>
      </c>
      <c r="L37" s="712">
        <f>L36</f>
        <v>106.48999653587678</v>
      </c>
      <c r="M37" s="713"/>
      <c r="N37" s="714"/>
      <c r="O37" s="715"/>
      <c r="P37" s="716"/>
      <c r="Q37" s="716"/>
      <c r="R37" s="717"/>
      <c r="S37" s="718" t="s">
        <v>308</v>
      </c>
      <c r="T37" s="719">
        <f t="shared" si="5"/>
        <v>1.1889285714285713</v>
      </c>
      <c r="Y37" s="721"/>
      <c r="AD37" s="721"/>
    </row>
    <row r="38" spans="1:20" ht="11.25">
      <c r="A38" s="87" t="s">
        <v>309</v>
      </c>
      <c r="L38" s="722"/>
      <c r="N38" s="722"/>
      <c r="O38" s="723"/>
      <c r="Q38" s="576"/>
      <c r="R38" s="577"/>
      <c r="S38" s="724"/>
      <c r="T38" s="578"/>
    </row>
    <row r="39" spans="1:30" s="725" customFormat="1" ht="11.25">
      <c r="A39" s="725" t="s">
        <v>310</v>
      </c>
      <c r="B39" s="726">
        <f>E37+L3-L37</f>
        <v>77.51000346412322</v>
      </c>
      <c r="C39" s="727"/>
      <c r="D39" s="728" t="s">
        <v>311</v>
      </c>
      <c r="E39" s="729">
        <f>IF(B37=0,0,B39/B37)</f>
        <v>2.592307808164656</v>
      </c>
      <c r="F39" s="730"/>
      <c r="H39" s="731" t="s">
        <v>312</v>
      </c>
      <c r="I39" s="732">
        <f>IF(C37=0,0,B39/C37)</f>
        <v>0.6908199952239146</v>
      </c>
      <c r="K39" s="733"/>
      <c r="L39" s="734"/>
      <c r="M39" s="735"/>
      <c r="N39" s="734"/>
      <c r="O39" s="736"/>
      <c r="P39" s="737"/>
      <c r="Q39" s="737"/>
      <c r="R39" s="738"/>
      <c r="S39" s="739"/>
      <c r="T39" s="733"/>
      <c r="Y39" s="740"/>
      <c r="AD39" s="740"/>
    </row>
    <row r="40" spans="1:20" ht="11.25">
      <c r="A40" s="87" t="s">
        <v>313</v>
      </c>
      <c r="L40" s="722"/>
      <c r="N40" s="722"/>
      <c r="O40" s="723"/>
      <c r="Q40" s="576"/>
      <c r="R40" s="577"/>
      <c r="S40" s="724"/>
      <c r="T40" s="578"/>
    </row>
    <row r="41" spans="12:20" ht="11.25">
      <c r="L41" s="722"/>
      <c r="N41" s="722"/>
      <c r="O41" s="723"/>
      <c r="Q41" s="576"/>
      <c r="R41" s="577"/>
      <c r="S41" s="724"/>
      <c r="T41" s="578"/>
    </row>
    <row r="42" spans="1:30" s="720" customFormat="1" ht="11.25">
      <c r="A42" s="579" t="s">
        <v>259</v>
      </c>
      <c r="B42" s="580"/>
      <c r="C42" s="580"/>
      <c r="D42" s="581"/>
      <c r="E42" s="741"/>
      <c r="F42" s="742" t="s">
        <v>260</v>
      </c>
      <c r="G42" s="743"/>
      <c r="H42" s="744"/>
      <c r="I42" s="745" t="s">
        <v>261</v>
      </c>
      <c r="J42" s="746"/>
      <c r="K42" s="588"/>
      <c r="L42" s="589" t="s">
        <v>262</v>
      </c>
      <c r="M42" s="590"/>
      <c r="N42" s="591"/>
      <c r="O42" s="592"/>
      <c r="P42" s="593"/>
      <c r="Q42" s="594"/>
      <c r="R42" s="595" t="s">
        <v>263</v>
      </c>
      <c r="S42" s="747"/>
      <c r="T42" s="748" t="s">
        <v>264</v>
      </c>
      <c r="Y42" s="721"/>
      <c r="AD42" s="721"/>
    </row>
    <row r="43" spans="1:30" s="599" customFormat="1" ht="11.25">
      <c r="A43" s="601" t="s">
        <v>266</v>
      </c>
      <c r="B43" s="602" t="s">
        <v>267</v>
      </c>
      <c r="C43" s="602" t="s">
        <v>268</v>
      </c>
      <c r="D43" s="603" t="s">
        <v>269</v>
      </c>
      <c r="E43" s="749" t="s">
        <v>270</v>
      </c>
      <c r="F43" s="750" t="s">
        <v>271</v>
      </c>
      <c r="G43" s="751" t="s">
        <v>272</v>
      </c>
      <c r="H43" s="752" t="s">
        <v>273</v>
      </c>
      <c r="I43" s="607" t="s">
        <v>274</v>
      </c>
      <c r="J43" s="753" t="s">
        <v>275</v>
      </c>
      <c r="K43" s="754" t="s">
        <v>276</v>
      </c>
      <c r="L43" s="755" t="s">
        <v>277</v>
      </c>
      <c r="M43" s="756" t="s">
        <v>278</v>
      </c>
      <c r="N43" s="755" t="s">
        <v>279</v>
      </c>
      <c r="O43" s="757" t="s">
        <v>280</v>
      </c>
      <c r="P43" s="613" t="s">
        <v>281</v>
      </c>
      <c r="Q43" s="614" t="s">
        <v>278</v>
      </c>
      <c r="R43" s="615" t="s">
        <v>282</v>
      </c>
      <c r="S43" s="758" t="s">
        <v>283</v>
      </c>
      <c r="T43" s="759" t="s">
        <v>284</v>
      </c>
      <c r="Y43" s="600"/>
      <c r="AD43" s="600"/>
    </row>
    <row r="44" spans="1:30" s="720" customFormat="1" ht="11.25">
      <c r="A44" s="618" t="s">
        <v>286</v>
      </c>
      <c r="B44" s="760">
        <f>B36</f>
        <v>29.9</v>
      </c>
      <c r="C44" s="760">
        <f>C36</f>
        <v>112.2</v>
      </c>
      <c r="D44" s="621">
        <v>39448</v>
      </c>
      <c r="E44" s="622"/>
      <c r="F44" s="623"/>
      <c r="G44" s="624"/>
      <c r="H44" s="625"/>
      <c r="I44" s="761"/>
      <c r="J44" s="696">
        <f aca="true" t="shared" si="16" ref="J44:J77">IF(I44&gt;2,IF(I44&lt;34,(4.675*(I44-2)+7-2.45*SIN(3.14*(I44-3)/26)),0),0)</f>
        <v>0</v>
      </c>
      <c r="K44" s="762">
        <v>0</v>
      </c>
      <c r="L44" s="763">
        <f>L37</f>
        <v>106.48999653587678</v>
      </c>
      <c r="M44" s="764">
        <v>4.3</v>
      </c>
      <c r="N44" s="765">
        <v>0</v>
      </c>
      <c r="O44" s="766"/>
      <c r="P44" s="767"/>
      <c r="Q44" s="633"/>
      <c r="R44" s="634"/>
      <c r="S44" s="635"/>
      <c r="T44" s="636"/>
      <c r="Y44" s="721"/>
      <c r="AD44" s="721"/>
    </row>
    <row r="45" spans="1:30" s="720" customFormat="1" ht="11.25">
      <c r="A45" s="643"/>
      <c r="B45" s="679">
        <f>B44</f>
        <v>29.9</v>
      </c>
      <c r="C45" s="645">
        <f>C44</f>
        <v>112.2</v>
      </c>
      <c r="D45" s="646"/>
      <c r="E45" s="647"/>
      <c r="F45" s="648"/>
      <c r="G45" s="649"/>
      <c r="H45" s="650"/>
      <c r="I45" s="651"/>
      <c r="J45" s="696">
        <f t="shared" si="16"/>
        <v>0</v>
      </c>
      <c r="K45" s="652">
        <v>0</v>
      </c>
      <c r="L45" s="653">
        <f aca="true" t="shared" si="17" ref="L45:L77">IF(J45+K45=0,L44,J45+K45)</f>
        <v>106.48999653587678</v>
      </c>
      <c r="M45" s="654">
        <f aca="true" t="shared" si="18" ref="M45:M77">M44</f>
        <v>4.3</v>
      </c>
      <c r="N45" s="655">
        <f aca="true" t="shared" si="19" ref="N45:N77">IF(J45+K45=0,"",N44+E45-(B45-B44)*M45)</f>
      </c>
      <c r="O45" s="656">
        <f aca="true" t="shared" si="20" ref="O45:O77">IF(J45+K45=0,0,L45-N45)</f>
        <v>0</v>
      </c>
      <c r="P45" s="768">
        <v>0.7</v>
      </c>
      <c r="Q45" s="657">
        <v>5</v>
      </c>
      <c r="R45" s="658">
        <f aca="true" t="shared" si="21" ref="R45:R77">IF(J45+K45=0,"",(L45-20)/P45)</f>
      </c>
      <c r="S45" s="659">
        <f aca="true" t="shared" si="22" ref="S45:S77">IF(J45+K45=0,"",(L45-20)/Q45)</f>
      </c>
      <c r="T45" s="660">
        <f aca="true" t="shared" si="23" ref="T45:T78">IF(E45=0,0,F45/E45)</f>
        <v>0</v>
      </c>
      <c r="Y45" s="721"/>
      <c r="AD45" s="721"/>
    </row>
    <row r="46" spans="1:20" ht="11.25">
      <c r="A46" s="668"/>
      <c r="B46" s="679">
        <f>B45</f>
        <v>29.9</v>
      </c>
      <c r="C46" s="645">
        <f>C45</f>
        <v>112.2</v>
      </c>
      <c r="D46" s="646"/>
      <c r="E46" s="670"/>
      <c r="F46" s="671"/>
      <c r="G46" s="649"/>
      <c r="H46" s="650"/>
      <c r="I46" s="651"/>
      <c r="J46" s="696">
        <f t="shared" si="16"/>
        <v>0</v>
      </c>
      <c r="K46" s="652">
        <v>0</v>
      </c>
      <c r="L46" s="653">
        <f t="shared" si="17"/>
        <v>106.48999653587678</v>
      </c>
      <c r="M46" s="654">
        <f t="shared" si="18"/>
        <v>4.3</v>
      </c>
      <c r="N46" s="655">
        <f t="shared" si="19"/>
      </c>
      <c r="O46" s="656">
        <f t="shared" si="20"/>
        <v>0</v>
      </c>
      <c r="P46" s="768">
        <f aca="true" t="shared" si="24" ref="P46:Q48">P45</f>
        <v>0.7</v>
      </c>
      <c r="Q46" s="657">
        <f t="shared" si="24"/>
        <v>5</v>
      </c>
      <c r="R46" s="658">
        <f t="shared" si="21"/>
      </c>
      <c r="S46" s="659">
        <f t="shared" si="22"/>
      </c>
      <c r="T46" s="660">
        <f t="shared" si="23"/>
        <v>0</v>
      </c>
    </row>
    <row r="47" spans="1:20" ht="11.25">
      <c r="A47" s="668"/>
      <c r="B47" s="679">
        <f aca="true" t="shared" si="25" ref="B47:B77">B46</f>
        <v>29.9</v>
      </c>
      <c r="C47" s="645">
        <v>18</v>
      </c>
      <c r="D47" s="646"/>
      <c r="E47" s="670"/>
      <c r="F47" s="671"/>
      <c r="G47" s="649"/>
      <c r="H47" s="650"/>
      <c r="I47" s="651"/>
      <c r="J47" s="696">
        <f t="shared" si="16"/>
        <v>0</v>
      </c>
      <c r="K47" s="652">
        <v>0</v>
      </c>
      <c r="L47" s="653">
        <f t="shared" si="17"/>
        <v>106.48999653587678</v>
      </c>
      <c r="M47" s="654">
        <f t="shared" si="18"/>
        <v>4.3</v>
      </c>
      <c r="N47" s="655">
        <f t="shared" si="19"/>
      </c>
      <c r="O47" s="656">
        <f t="shared" si="20"/>
        <v>0</v>
      </c>
      <c r="P47" s="768">
        <f t="shared" si="24"/>
        <v>0.7</v>
      </c>
      <c r="Q47" s="657">
        <f t="shared" si="24"/>
        <v>5</v>
      </c>
      <c r="R47" s="658">
        <f t="shared" si="21"/>
      </c>
      <c r="S47" s="659">
        <f t="shared" si="22"/>
      </c>
      <c r="T47" s="660">
        <f t="shared" si="23"/>
        <v>0</v>
      </c>
    </row>
    <row r="48" spans="1:20" ht="11.25">
      <c r="A48" s="668"/>
      <c r="B48" s="679">
        <f t="shared" si="25"/>
        <v>29.9</v>
      </c>
      <c r="C48" s="645">
        <f aca="true" t="shared" si="26" ref="C48:C77">C47</f>
        <v>18</v>
      </c>
      <c r="D48" s="646"/>
      <c r="E48" s="670"/>
      <c r="F48" s="671"/>
      <c r="G48" s="649"/>
      <c r="H48" s="650"/>
      <c r="I48" s="651"/>
      <c r="J48" s="696">
        <f t="shared" si="16"/>
        <v>0</v>
      </c>
      <c r="K48" s="652">
        <v>0</v>
      </c>
      <c r="L48" s="653">
        <f t="shared" si="17"/>
        <v>106.48999653587678</v>
      </c>
      <c r="M48" s="654">
        <f t="shared" si="18"/>
        <v>4.3</v>
      </c>
      <c r="N48" s="655">
        <f t="shared" si="19"/>
      </c>
      <c r="O48" s="656">
        <f t="shared" si="20"/>
        <v>0</v>
      </c>
      <c r="P48" s="768">
        <f t="shared" si="24"/>
        <v>0.7</v>
      </c>
      <c r="Q48" s="657">
        <f t="shared" si="24"/>
        <v>5</v>
      </c>
      <c r="R48" s="658">
        <f t="shared" si="21"/>
      </c>
      <c r="S48" s="659">
        <f t="shared" si="22"/>
      </c>
      <c r="T48" s="660">
        <f t="shared" si="23"/>
        <v>0</v>
      </c>
    </row>
    <row r="49" spans="1:20" ht="11.25">
      <c r="A49" s="668"/>
      <c r="B49" s="679">
        <f t="shared" si="25"/>
        <v>29.9</v>
      </c>
      <c r="C49" s="645">
        <f t="shared" si="26"/>
        <v>18</v>
      </c>
      <c r="D49" s="646"/>
      <c r="E49" s="670"/>
      <c r="F49" s="671"/>
      <c r="G49" s="649"/>
      <c r="H49" s="650"/>
      <c r="I49" s="651"/>
      <c r="J49" s="696">
        <f t="shared" si="16"/>
        <v>0</v>
      </c>
      <c r="K49" s="652">
        <v>0</v>
      </c>
      <c r="L49" s="653">
        <f t="shared" si="17"/>
        <v>106.48999653587678</v>
      </c>
      <c r="M49" s="654">
        <f t="shared" si="18"/>
        <v>4.3</v>
      </c>
      <c r="N49" s="655">
        <f t="shared" si="19"/>
      </c>
      <c r="O49" s="656">
        <f t="shared" si="20"/>
        <v>0</v>
      </c>
      <c r="P49" s="768">
        <f aca="true" t="shared" si="27" ref="P49:P77">P48</f>
        <v>0.7</v>
      </c>
      <c r="Q49" s="657">
        <v>5</v>
      </c>
      <c r="R49" s="658">
        <f t="shared" si="21"/>
      </c>
      <c r="S49" s="659">
        <f t="shared" si="22"/>
      </c>
      <c r="T49" s="660">
        <f t="shared" si="23"/>
        <v>0</v>
      </c>
    </row>
    <row r="50" spans="1:20" ht="11.25">
      <c r="A50" s="668"/>
      <c r="B50" s="679">
        <f t="shared" si="25"/>
        <v>29.9</v>
      </c>
      <c r="C50" s="645">
        <f t="shared" si="26"/>
        <v>18</v>
      </c>
      <c r="D50" s="646"/>
      <c r="E50" s="670"/>
      <c r="F50" s="671"/>
      <c r="G50" s="649"/>
      <c r="H50" s="650"/>
      <c r="I50" s="651"/>
      <c r="J50" s="696">
        <f t="shared" si="16"/>
        <v>0</v>
      </c>
      <c r="K50" s="652">
        <v>0</v>
      </c>
      <c r="L50" s="653">
        <f t="shared" si="17"/>
        <v>106.48999653587678</v>
      </c>
      <c r="M50" s="654">
        <f t="shared" si="18"/>
        <v>4.3</v>
      </c>
      <c r="N50" s="655">
        <f t="shared" si="19"/>
      </c>
      <c r="O50" s="656">
        <f t="shared" si="20"/>
        <v>0</v>
      </c>
      <c r="P50" s="768">
        <f t="shared" si="27"/>
        <v>0.7</v>
      </c>
      <c r="Q50" s="657">
        <v>5</v>
      </c>
      <c r="R50" s="658">
        <f t="shared" si="21"/>
      </c>
      <c r="S50" s="659">
        <f t="shared" si="22"/>
      </c>
      <c r="T50" s="660">
        <f t="shared" si="23"/>
        <v>0</v>
      </c>
    </row>
    <row r="51" spans="1:20" ht="11.25">
      <c r="A51" s="668"/>
      <c r="B51" s="679">
        <f t="shared" si="25"/>
        <v>29.9</v>
      </c>
      <c r="C51" s="645">
        <f t="shared" si="26"/>
        <v>18</v>
      </c>
      <c r="D51" s="646"/>
      <c r="E51" s="670"/>
      <c r="F51" s="671"/>
      <c r="G51" s="649"/>
      <c r="H51" s="650"/>
      <c r="I51" s="651"/>
      <c r="J51" s="696">
        <f t="shared" si="16"/>
        <v>0</v>
      </c>
      <c r="K51" s="652">
        <v>0</v>
      </c>
      <c r="L51" s="653">
        <f t="shared" si="17"/>
        <v>106.48999653587678</v>
      </c>
      <c r="M51" s="654">
        <f t="shared" si="18"/>
        <v>4.3</v>
      </c>
      <c r="N51" s="655">
        <f t="shared" si="19"/>
      </c>
      <c r="O51" s="656">
        <f t="shared" si="20"/>
        <v>0</v>
      </c>
      <c r="P51" s="768">
        <f t="shared" si="27"/>
        <v>0.7</v>
      </c>
      <c r="Q51" s="657">
        <f aca="true" t="shared" si="28" ref="Q51:Q77">Q50</f>
        <v>5</v>
      </c>
      <c r="R51" s="658">
        <f t="shared" si="21"/>
      </c>
      <c r="S51" s="659">
        <f t="shared" si="22"/>
      </c>
      <c r="T51" s="660">
        <f t="shared" si="23"/>
        <v>0</v>
      </c>
    </row>
    <row r="52" spans="1:20" ht="11.25">
      <c r="A52" s="668"/>
      <c r="B52" s="679">
        <f t="shared" si="25"/>
        <v>29.9</v>
      </c>
      <c r="C52" s="645">
        <f t="shared" si="26"/>
        <v>18</v>
      </c>
      <c r="D52" s="646"/>
      <c r="E52" s="670"/>
      <c r="F52" s="671"/>
      <c r="G52" s="649"/>
      <c r="H52" s="650"/>
      <c r="I52" s="651"/>
      <c r="J52" s="696">
        <f t="shared" si="16"/>
        <v>0</v>
      </c>
      <c r="K52" s="652">
        <v>0</v>
      </c>
      <c r="L52" s="653">
        <f t="shared" si="17"/>
        <v>106.48999653587678</v>
      </c>
      <c r="M52" s="654">
        <f t="shared" si="18"/>
        <v>4.3</v>
      </c>
      <c r="N52" s="655">
        <f t="shared" si="19"/>
      </c>
      <c r="O52" s="656">
        <f t="shared" si="20"/>
        <v>0</v>
      </c>
      <c r="P52" s="768">
        <f t="shared" si="27"/>
        <v>0.7</v>
      </c>
      <c r="Q52" s="657">
        <f t="shared" si="28"/>
        <v>5</v>
      </c>
      <c r="R52" s="658">
        <f t="shared" si="21"/>
      </c>
      <c r="S52" s="659">
        <f t="shared" si="22"/>
      </c>
      <c r="T52" s="660">
        <f t="shared" si="23"/>
        <v>0</v>
      </c>
    </row>
    <row r="53" spans="1:20" ht="11.25">
      <c r="A53" s="668"/>
      <c r="B53" s="679">
        <f t="shared" si="25"/>
        <v>29.9</v>
      </c>
      <c r="C53" s="645">
        <f t="shared" si="26"/>
        <v>18</v>
      </c>
      <c r="D53" s="646"/>
      <c r="E53" s="670"/>
      <c r="F53" s="671"/>
      <c r="G53" s="649"/>
      <c r="H53" s="650"/>
      <c r="I53" s="651"/>
      <c r="J53" s="696">
        <f t="shared" si="16"/>
        <v>0</v>
      </c>
      <c r="K53" s="652">
        <v>0</v>
      </c>
      <c r="L53" s="653">
        <f t="shared" si="17"/>
        <v>106.48999653587678</v>
      </c>
      <c r="M53" s="654">
        <f t="shared" si="18"/>
        <v>4.3</v>
      </c>
      <c r="N53" s="655">
        <f t="shared" si="19"/>
      </c>
      <c r="O53" s="656">
        <f t="shared" si="20"/>
        <v>0</v>
      </c>
      <c r="P53" s="768">
        <f t="shared" si="27"/>
        <v>0.7</v>
      </c>
      <c r="Q53" s="657">
        <f t="shared" si="28"/>
        <v>5</v>
      </c>
      <c r="R53" s="658">
        <f t="shared" si="21"/>
      </c>
      <c r="S53" s="659">
        <f t="shared" si="22"/>
      </c>
      <c r="T53" s="660">
        <f t="shared" si="23"/>
        <v>0</v>
      </c>
    </row>
    <row r="54" spans="1:20" ht="11.25">
      <c r="A54" s="668"/>
      <c r="B54" s="679">
        <f t="shared" si="25"/>
        <v>29.9</v>
      </c>
      <c r="C54" s="645">
        <f t="shared" si="26"/>
        <v>18</v>
      </c>
      <c r="D54" s="646"/>
      <c r="E54" s="670"/>
      <c r="F54" s="671"/>
      <c r="G54" s="649"/>
      <c r="H54" s="650"/>
      <c r="I54" s="651"/>
      <c r="J54" s="696">
        <f t="shared" si="16"/>
        <v>0</v>
      </c>
      <c r="K54" s="652">
        <v>0</v>
      </c>
      <c r="L54" s="653">
        <f t="shared" si="17"/>
        <v>106.48999653587678</v>
      </c>
      <c r="M54" s="654">
        <f t="shared" si="18"/>
        <v>4.3</v>
      </c>
      <c r="N54" s="655">
        <f t="shared" si="19"/>
      </c>
      <c r="O54" s="656">
        <f t="shared" si="20"/>
        <v>0</v>
      </c>
      <c r="P54" s="768">
        <f t="shared" si="27"/>
        <v>0.7</v>
      </c>
      <c r="Q54" s="657">
        <f t="shared" si="28"/>
        <v>5</v>
      </c>
      <c r="R54" s="658">
        <f t="shared" si="21"/>
      </c>
      <c r="S54" s="659">
        <f t="shared" si="22"/>
      </c>
      <c r="T54" s="660">
        <f t="shared" si="23"/>
        <v>0</v>
      </c>
    </row>
    <row r="55" spans="1:20" ht="11.25">
      <c r="A55" s="668"/>
      <c r="B55" s="679">
        <f t="shared" si="25"/>
        <v>29.9</v>
      </c>
      <c r="C55" s="645">
        <f t="shared" si="26"/>
        <v>18</v>
      </c>
      <c r="D55" s="646"/>
      <c r="E55" s="670"/>
      <c r="F55" s="671"/>
      <c r="G55" s="649"/>
      <c r="H55" s="650"/>
      <c r="I55" s="651"/>
      <c r="J55" s="696">
        <f t="shared" si="16"/>
        <v>0</v>
      </c>
      <c r="K55" s="652">
        <v>0</v>
      </c>
      <c r="L55" s="653">
        <f t="shared" si="17"/>
        <v>106.48999653587678</v>
      </c>
      <c r="M55" s="654">
        <f t="shared" si="18"/>
        <v>4.3</v>
      </c>
      <c r="N55" s="655">
        <f t="shared" si="19"/>
      </c>
      <c r="O55" s="656">
        <f t="shared" si="20"/>
        <v>0</v>
      </c>
      <c r="P55" s="768">
        <f t="shared" si="27"/>
        <v>0.7</v>
      </c>
      <c r="Q55" s="657">
        <f t="shared" si="28"/>
        <v>5</v>
      </c>
      <c r="R55" s="658">
        <f t="shared" si="21"/>
      </c>
      <c r="S55" s="659">
        <f t="shared" si="22"/>
      </c>
      <c r="T55" s="660">
        <f t="shared" si="23"/>
        <v>0</v>
      </c>
    </row>
    <row r="56" spans="1:20" ht="11.25">
      <c r="A56" s="668"/>
      <c r="B56" s="679">
        <f t="shared" si="25"/>
        <v>29.9</v>
      </c>
      <c r="C56" s="645">
        <f t="shared" si="26"/>
        <v>18</v>
      </c>
      <c r="D56" s="646"/>
      <c r="E56" s="670"/>
      <c r="F56" s="671"/>
      <c r="G56" s="649"/>
      <c r="H56" s="650"/>
      <c r="I56" s="651"/>
      <c r="J56" s="696">
        <f t="shared" si="16"/>
        <v>0</v>
      </c>
      <c r="K56" s="652">
        <v>0</v>
      </c>
      <c r="L56" s="653">
        <f t="shared" si="17"/>
        <v>106.48999653587678</v>
      </c>
      <c r="M56" s="654">
        <f t="shared" si="18"/>
        <v>4.3</v>
      </c>
      <c r="N56" s="655">
        <f t="shared" si="19"/>
      </c>
      <c r="O56" s="656">
        <f t="shared" si="20"/>
        <v>0</v>
      </c>
      <c r="P56" s="768">
        <f t="shared" si="27"/>
        <v>0.7</v>
      </c>
      <c r="Q56" s="657">
        <f t="shared" si="28"/>
        <v>5</v>
      </c>
      <c r="R56" s="658">
        <f t="shared" si="21"/>
      </c>
      <c r="S56" s="659">
        <f t="shared" si="22"/>
      </c>
      <c r="T56" s="660">
        <f t="shared" si="23"/>
        <v>0</v>
      </c>
    </row>
    <row r="57" spans="1:20" ht="11.25">
      <c r="A57" s="668"/>
      <c r="B57" s="679">
        <f t="shared" si="25"/>
        <v>29.9</v>
      </c>
      <c r="C57" s="645">
        <f t="shared" si="26"/>
        <v>18</v>
      </c>
      <c r="D57" s="646"/>
      <c r="E57" s="670"/>
      <c r="F57" s="671"/>
      <c r="G57" s="649"/>
      <c r="H57" s="650"/>
      <c r="I57" s="651"/>
      <c r="J57" s="696">
        <f t="shared" si="16"/>
        <v>0</v>
      </c>
      <c r="K57" s="652">
        <v>0</v>
      </c>
      <c r="L57" s="653">
        <f t="shared" si="17"/>
        <v>106.48999653587678</v>
      </c>
      <c r="M57" s="654">
        <f t="shared" si="18"/>
        <v>4.3</v>
      </c>
      <c r="N57" s="655">
        <f t="shared" si="19"/>
      </c>
      <c r="O57" s="656">
        <f t="shared" si="20"/>
        <v>0</v>
      </c>
      <c r="P57" s="768">
        <f t="shared" si="27"/>
        <v>0.7</v>
      </c>
      <c r="Q57" s="657">
        <f t="shared" si="28"/>
        <v>5</v>
      </c>
      <c r="R57" s="658">
        <f t="shared" si="21"/>
      </c>
      <c r="S57" s="659">
        <f t="shared" si="22"/>
      </c>
      <c r="T57" s="660">
        <f t="shared" si="23"/>
        <v>0</v>
      </c>
    </row>
    <row r="58" spans="1:20" ht="11.25">
      <c r="A58" s="668"/>
      <c r="B58" s="679">
        <f t="shared" si="25"/>
        <v>29.9</v>
      </c>
      <c r="C58" s="645">
        <f t="shared" si="26"/>
        <v>18</v>
      </c>
      <c r="D58" s="646"/>
      <c r="E58" s="670"/>
      <c r="F58" s="671"/>
      <c r="G58" s="649"/>
      <c r="H58" s="650"/>
      <c r="I58" s="651"/>
      <c r="J58" s="696">
        <f t="shared" si="16"/>
        <v>0</v>
      </c>
      <c r="K58" s="652">
        <v>0</v>
      </c>
      <c r="L58" s="653">
        <f t="shared" si="17"/>
        <v>106.48999653587678</v>
      </c>
      <c r="M58" s="654">
        <f t="shared" si="18"/>
        <v>4.3</v>
      </c>
      <c r="N58" s="655">
        <f t="shared" si="19"/>
      </c>
      <c r="O58" s="656">
        <f t="shared" si="20"/>
        <v>0</v>
      </c>
      <c r="P58" s="768">
        <f t="shared" si="27"/>
        <v>0.7</v>
      </c>
      <c r="Q58" s="657">
        <f t="shared" si="28"/>
        <v>5</v>
      </c>
      <c r="R58" s="658">
        <f t="shared" si="21"/>
      </c>
      <c r="S58" s="659">
        <f t="shared" si="22"/>
      </c>
      <c r="T58" s="660">
        <f t="shared" si="23"/>
        <v>0</v>
      </c>
    </row>
    <row r="59" spans="1:20" ht="11.25">
      <c r="A59" s="668"/>
      <c r="B59" s="679">
        <f t="shared" si="25"/>
        <v>29.9</v>
      </c>
      <c r="C59" s="645">
        <f t="shared" si="26"/>
        <v>18</v>
      </c>
      <c r="D59" s="646"/>
      <c r="E59" s="670"/>
      <c r="F59" s="671"/>
      <c r="G59" s="649"/>
      <c r="H59" s="650"/>
      <c r="I59" s="651"/>
      <c r="J59" s="696">
        <f t="shared" si="16"/>
        <v>0</v>
      </c>
      <c r="K59" s="652">
        <v>0</v>
      </c>
      <c r="L59" s="653">
        <f t="shared" si="17"/>
        <v>106.48999653587678</v>
      </c>
      <c r="M59" s="654">
        <f t="shared" si="18"/>
        <v>4.3</v>
      </c>
      <c r="N59" s="655">
        <f t="shared" si="19"/>
      </c>
      <c r="O59" s="656">
        <f t="shared" si="20"/>
        <v>0</v>
      </c>
      <c r="P59" s="768">
        <f t="shared" si="27"/>
        <v>0.7</v>
      </c>
      <c r="Q59" s="657">
        <f t="shared" si="28"/>
        <v>5</v>
      </c>
      <c r="R59" s="658">
        <f t="shared" si="21"/>
      </c>
      <c r="S59" s="659">
        <f t="shared" si="22"/>
      </c>
      <c r="T59" s="660">
        <f t="shared" si="23"/>
        <v>0</v>
      </c>
    </row>
    <row r="60" spans="1:20" ht="11.25">
      <c r="A60" s="668"/>
      <c r="B60" s="679">
        <f t="shared" si="25"/>
        <v>29.9</v>
      </c>
      <c r="C60" s="645">
        <f t="shared" si="26"/>
        <v>18</v>
      </c>
      <c r="D60" s="646"/>
      <c r="E60" s="670"/>
      <c r="F60" s="671"/>
      <c r="G60" s="649"/>
      <c r="H60" s="650"/>
      <c r="I60" s="651"/>
      <c r="J60" s="696">
        <f t="shared" si="16"/>
        <v>0</v>
      </c>
      <c r="K60" s="652">
        <v>0</v>
      </c>
      <c r="L60" s="653">
        <f t="shared" si="17"/>
        <v>106.48999653587678</v>
      </c>
      <c r="M60" s="654">
        <f t="shared" si="18"/>
        <v>4.3</v>
      </c>
      <c r="N60" s="655">
        <f t="shared" si="19"/>
      </c>
      <c r="O60" s="656">
        <f t="shared" si="20"/>
        <v>0</v>
      </c>
      <c r="P60" s="768">
        <f t="shared" si="27"/>
        <v>0.7</v>
      </c>
      <c r="Q60" s="657">
        <f t="shared" si="28"/>
        <v>5</v>
      </c>
      <c r="R60" s="658">
        <f t="shared" si="21"/>
      </c>
      <c r="S60" s="659">
        <f t="shared" si="22"/>
      </c>
      <c r="T60" s="660">
        <f t="shared" si="23"/>
        <v>0</v>
      </c>
    </row>
    <row r="61" spans="1:20" ht="11.25">
      <c r="A61" s="668"/>
      <c r="B61" s="679">
        <f t="shared" si="25"/>
        <v>29.9</v>
      </c>
      <c r="C61" s="645">
        <f t="shared" si="26"/>
        <v>18</v>
      </c>
      <c r="D61" s="646"/>
      <c r="E61" s="670"/>
      <c r="F61" s="671"/>
      <c r="G61" s="649"/>
      <c r="H61" s="650"/>
      <c r="I61" s="651"/>
      <c r="J61" s="696">
        <f t="shared" si="16"/>
        <v>0</v>
      </c>
      <c r="K61" s="652">
        <v>0</v>
      </c>
      <c r="L61" s="653">
        <f t="shared" si="17"/>
        <v>106.48999653587678</v>
      </c>
      <c r="M61" s="654">
        <f t="shared" si="18"/>
        <v>4.3</v>
      </c>
      <c r="N61" s="655">
        <f t="shared" si="19"/>
      </c>
      <c r="O61" s="656">
        <f t="shared" si="20"/>
        <v>0</v>
      </c>
      <c r="P61" s="768">
        <f t="shared" si="27"/>
        <v>0.7</v>
      </c>
      <c r="Q61" s="657">
        <f t="shared" si="28"/>
        <v>5</v>
      </c>
      <c r="R61" s="658">
        <f t="shared" si="21"/>
      </c>
      <c r="S61" s="659">
        <f t="shared" si="22"/>
      </c>
      <c r="T61" s="660">
        <f t="shared" si="23"/>
        <v>0</v>
      </c>
    </row>
    <row r="62" spans="1:20" ht="11.25">
      <c r="A62" s="668"/>
      <c r="B62" s="679">
        <f t="shared" si="25"/>
        <v>29.9</v>
      </c>
      <c r="C62" s="645">
        <f t="shared" si="26"/>
        <v>18</v>
      </c>
      <c r="D62" s="646"/>
      <c r="E62" s="670"/>
      <c r="F62" s="671"/>
      <c r="G62" s="649"/>
      <c r="H62" s="650"/>
      <c r="I62" s="651"/>
      <c r="J62" s="696">
        <f t="shared" si="16"/>
        <v>0</v>
      </c>
      <c r="K62" s="652">
        <v>0</v>
      </c>
      <c r="L62" s="653">
        <f t="shared" si="17"/>
        <v>106.48999653587678</v>
      </c>
      <c r="M62" s="654">
        <f t="shared" si="18"/>
        <v>4.3</v>
      </c>
      <c r="N62" s="655">
        <f t="shared" si="19"/>
      </c>
      <c r="O62" s="656">
        <f t="shared" si="20"/>
        <v>0</v>
      </c>
      <c r="P62" s="768">
        <f t="shared" si="27"/>
        <v>0.7</v>
      </c>
      <c r="Q62" s="657">
        <f t="shared" si="28"/>
        <v>5</v>
      </c>
      <c r="R62" s="658">
        <f t="shared" si="21"/>
      </c>
      <c r="S62" s="659">
        <f t="shared" si="22"/>
      </c>
      <c r="T62" s="660">
        <f t="shared" si="23"/>
        <v>0</v>
      </c>
    </row>
    <row r="63" spans="1:20" ht="11.25">
      <c r="A63" s="668"/>
      <c r="B63" s="679">
        <f t="shared" si="25"/>
        <v>29.9</v>
      </c>
      <c r="C63" s="645">
        <f t="shared" si="26"/>
        <v>18</v>
      </c>
      <c r="D63" s="646"/>
      <c r="E63" s="670"/>
      <c r="F63" s="671"/>
      <c r="G63" s="649"/>
      <c r="H63" s="650"/>
      <c r="I63" s="651"/>
      <c r="J63" s="696">
        <f t="shared" si="16"/>
        <v>0</v>
      </c>
      <c r="K63" s="652">
        <v>0</v>
      </c>
      <c r="L63" s="653">
        <f t="shared" si="17"/>
        <v>106.48999653587678</v>
      </c>
      <c r="M63" s="654">
        <f t="shared" si="18"/>
        <v>4.3</v>
      </c>
      <c r="N63" s="655">
        <f t="shared" si="19"/>
      </c>
      <c r="O63" s="656">
        <f t="shared" si="20"/>
        <v>0</v>
      </c>
      <c r="P63" s="768">
        <f t="shared" si="27"/>
        <v>0.7</v>
      </c>
      <c r="Q63" s="657">
        <f t="shared" si="28"/>
        <v>5</v>
      </c>
      <c r="R63" s="658">
        <f t="shared" si="21"/>
      </c>
      <c r="S63" s="659">
        <f t="shared" si="22"/>
      </c>
      <c r="T63" s="660">
        <f t="shared" si="23"/>
        <v>0</v>
      </c>
    </row>
    <row r="64" spans="1:20" ht="11.25">
      <c r="A64" s="668"/>
      <c r="B64" s="679">
        <f t="shared" si="25"/>
        <v>29.9</v>
      </c>
      <c r="C64" s="645">
        <f t="shared" si="26"/>
        <v>18</v>
      </c>
      <c r="D64" s="646"/>
      <c r="E64" s="670"/>
      <c r="F64" s="671"/>
      <c r="G64" s="649"/>
      <c r="H64" s="650"/>
      <c r="I64" s="651"/>
      <c r="J64" s="696">
        <f t="shared" si="16"/>
        <v>0</v>
      </c>
      <c r="K64" s="652">
        <v>0</v>
      </c>
      <c r="L64" s="653">
        <f t="shared" si="17"/>
        <v>106.48999653587678</v>
      </c>
      <c r="M64" s="654">
        <f t="shared" si="18"/>
        <v>4.3</v>
      </c>
      <c r="N64" s="655">
        <f t="shared" si="19"/>
      </c>
      <c r="O64" s="656">
        <f t="shared" si="20"/>
        <v>0</v>
      </c>
      <c r="P64" s="768">
        <f t="shared" si="27"/>
        <v>0.7</v>
      </c>
      <c r="Q64" s="657">
        <f t="shared" si="28"/>
        <v>5</v>
      </c>
      <c r="R64" s="658">
        <f t="shared" si="21"/>
      </c>
      <c r="S64" s="659">
        <f t="shared" si="22"/>
      </c>
      <c r="T64" s="660">
        <f t="shared" si="23"/>
        <v>0</v>
      </c>
    </row>
    <row r="65" spans="1:20" ht="11.25">
      <c r="A65" s="668"/>
      <c r="B65" s="679">
        <f t="shared" si="25"/>
        <v>29.9</v>
      </c>
      <c r="C65" s="645">
        <f t="shared" si="26"/>
        <v>18</v>
      </c>
      <c r="D65" s="646"/>
      <c r="E65" s="670"/>
      <c r="F65" s="671"/>
      <c r="G65" s="649"/>
      <c r="H65" s="650"/>
      <c r="I65" s="651"/>
      <c r="J65" s="696">
        <f t="shared" si="16"/>
        <v>0</v>
      </c>
      <c r="K65" s="652">
        <v>0</v>
      </c>
      <c r="L65" s="653">
        <f t="shared" si="17"/>
        <v>106.48999653587678</v>
      </c>
      <c r="M65" s="654">
        <f t="shared" si="18"/>
        <v>4.3</v>
      </c>
      <c r="N65" s="655">
        <f t="shared" si="19"/>
      </c>
      <c r="O65" s="656">
        <f t="shared" si="20"/>
        <v>0</v>
      </c>
      <c r="P65" s="768">
        <f t="shared" si="27"/>
        <v>0.7</v>
      </c>
      <c r="Q65" s="657">
        <f t="shared" si="28"/>
        <v>5</v>
      </c>
      <c r="R65" s="658">
        <f t="shared" si="21"/>
      </c>
      <c r="S65" s="659">
        <f t="shared" si="22"/>
      </c>
      <c r="T65" s="660">
        <f t="shared" si="23"/>
        <v>0</v>
      </c>
    </row>
    <row r="66" spans="1:20" ht="11.25">
      <c r="A66" s="668"/>
      <c r="B66" s="679">
        <f t="shared" si="25"/>
        <v>29.9</v>
      </c>
      <c r="C66" s="645">
        <f t="shared" si="26"/>
        <v>18</v>
      </c>
      <c r="D66" s="646"/>
      <c r="E66" s="670"/>
      <c r="F66" s="671"/>
      <c r="G66" s="649"/>
      <c r="H66" s="650"/>
      <c r="I66" s="651"/>
      <c r="J66" s="696">
        <f t="shared" si="16"/>
        <v>0</v>
      </c>
      <c r="K66" s="652">
        <v>0</v>
      </c>
      <c r="L66" s="653">
        <f t="shared" si="17"/>
        <v>106.48999653587678</v>
      </c>
      <c r="M66" s="654">
        <f t="shared" si="18"/>
        <v>4.3</v>
      </c>
      <c r="N66" s="655">
        <f t="shared" si="19"/>
      </c>
      <c r="O66" s="656">
        <f t="shared" si="20"/>
        <v>0</v>
      </c>
      <c r="P66" s="768">
        <f t="shared" si="27"/>
        <v>0.7</v>
      </c>
      <c r="Q66" s="657">
        <f t="shared" si="28"/>
        <v>5</v>
      </c>
      <c r="R66" s="658">
        <f t="shared" si="21"/>
      </c>
      <c r="S66" s="659">
        <f t="shared" si="22"/>
      </c>
      <c r="T66" s="660">
        <f t="shared" si="23"/>
        <v>0</v>
      </c>
    </row>
    <row r="67" spans="1:20" ht="11.25">
      <c r="A67" s="668"/>
      <c r="B67" s="679">
        <f t="shared" si="25"/>
        <v>29.9</v>
      </c>
      <c r="C67" s="645">
        <f t="shared" si="26"/>
        <v>18</v>
      </c>
      <c r="D67" s="646"/>
      <c r="E67" s="670"/>
      <c r="F67" s="671"/>
      <c r="G67" s="649"/>
      <c r="H67" s="650"/>
      <c r="I67" s="651"/>
      <c r="J67" s="696">
        <f t="shared" si="16"/>
        <v>0</v>
      </c>
      <c r="K67" s="652">
        <v>0</v>
      </c>
      <c r="L67" s="653">
        <f t="shared" si="17"/>
        <v>106.48999653587678</v>
      </c>
      <c r="M67" s="654">
        <f t="shared" si="18"/>
        <v>4.3</v>
      </c>
      <c r="N67" s="655">
        <f t="shared" si="19"/>
      </c>
      <c r="O67" s="656">
        <f t="shared" si="20"/>
        <v>0</v>
      </c>
      <c r="P67" s="768">
        <f t="shared" si="27"/>
        <v>0.7</v>
      </c>
      <c r="Q67" s="657">
        <f t="shared" si="28"/>
        <v>5</v>
      </c>
      <c r="R67" s="658">
        <f t="shared" si="21"/>
      </c>
      <c r="S67" s="659">
        <f t="shared" si="22"/>
      </c>
      <c r="T67" s="660">
        <f t="shared" si="23"/>
        <v>0</v>
      </c>
    </row>
    <row r="68" spans="1:20" ht="11.25">
      <c r="A68" s="668"/>
      <c r="B68" s="679">
        <f t="shared" si="25"/>
        <v>29.9</v>
      </c>
      <c r="C68" s="645">
        <f t="shared" si="26"/>
        <v>18</v>
      </c>
      <c r="D68" s="646"/>
      <c r="E68" s="670"/>
      <c r="F68" s="671"/>
      <c r="G68" s="649"/>
      <c r="H68" s="650"/>
      <c r="I68" s="651"/>
      <c r="J68" s="696">
        <f t="shared" si="16"/>
        <v>0</v>
      </c>
      <c r="K68" s="652">
        <v>0</v>
      </c>
      <c r="L68" s="653">
        <f t="shared" si="17"/>
        <v>106.48999653587678</v>
      </c>
      <c r="M68" s="654">
        <f t="shared" si="18"/>
        <v>4.3</v>
      </c>
      <c r="N68" s="655">
        <f t="shared" si="19"/>
      </c>
      <c r="O68" s="656">
        <f t="shared" si="20"/>
        <v>0</v>
      </c>
      <c r="P68" s="768">
        <f t="shared" si="27"/>
        <v>0.7</v>
      </c>
      <c r="Q68" s="657">
        <f t="shared" si="28"/>
        <v>5</v>
      </c>
      <c r="R68" s="658">
        <f t="shared" si="21"/>
      </c>
      <c r="S68" s="659">
        <f t="shared" si="22"/>
      </c>
      <c r="T68" s="660">
        <f t="shared" si="23"/>
        <v>0</v>
      </c>
    </row>
    <row r="69" spans="1:20" ht="11.25">
      <c r="A69" s="668"/>
      <c r="B69" s="679">
        <f t="shared" si="25"/>
        <v>29.9</v>
      </c>
      <c r="C69" s="645">
        <f t="shared" si="26"/>
        <v>18</v>
      </c>
      <c r="D69" s="646"/>
      <c r="E69" s="670"/>
      <c r="F69" s="671"/>
      <c r="G69" s="649"/>
      <c r="H69" s="650"/>
      <c r="I69" s="651"/>
      <c r="J69" s="696">
        <f t="shared" si="16"/>
        <v>0</v>
      </c>
      <c r="K69" s="652">
        <v>0</v>
      </c>
      <c r="L69" s="653">
        <f t="shared" si="17"/>
        <v>106.48999653587678</v>
      </c>
      <c r="M69" s="654">
        <f t="shared" si="18"/>
        <v>4.3</v>
      </c>
      <c r="N69" s="655">
        <f t="shared" si="19"/>
      </c>
      <c r="O69" s="656">
        <f t="shared" si="20"/>
        <v>0</v>
      </c>
      <c r="P69" s="768">
        <f t="shared" si="27"/>
        <v>0.7</v>
      </c>
      <c r="Q69" s="657">
        <f t="shared" si="28"/>
        <v>5</v>
      </c>
      <c r="R69" s="658">
        <f t="shared" si="21"/>
      </c>
      <c r="S69" s="659">
        <f t="shared" si="22"/>
      </c>
      <c r="T69" s="660">
        <f t="shared" si="23"/>
        <v>0</v>
      </c>
    </row>
    <row r="70" spans="1:20" ht="11.25">
      <c r="A70" s="668"/>
      <c r="B70" s="679">
        <f t="shared" si="25"/>
        <v>29.9</v>
      </c>
      <c r="C70" s="645">
        <f t="shared" si="26"/>
        <v>18</v>
      </c>
      <c r="D70" s="646"/>
      <c r="E70" s="670"/>
      <c r="F70" s="671"/>
      <c r="G70" s="649"/>
      <c r="H70" s="650"/>
      <c r="I70" s="651"/>
      <c r="J70" s="696">
        <f t="shared" si="16"/>
        <v>0</v>
      </c>
      <c r="K70" s="652">
        <v>0</v>
      </c>
      <c r="L70" s="653">
        <f t="shared" si="17"/>
        <v>106.48999653587678</v>
      </c>
      <c r="M70" s="654">
        <f t="shared" si="18"/>
        <v>4.3</v>
      </c>
      <c r="N70" s="655">
        <f t="shared" si="19"/>
      </c>
      <c r="O70" s="656">
        <f t="shared" si="20"/>
        <v>0</v>
      </c>
      <c r="P70" s="768">
        <f t="shared" si="27"/>
        <v>0.7</v>
      </c>
      <c r="Q70" s="657">
        <f t="shared" si="28"/>
        <v>5</v>
      </c>
      <c r="R70" s="658">
        <f t="shared" si="21"/>
      </c>
      <c r="S70" s="659">
        <f t="shared" si="22"/>
      </c>
      <c r="T70" s="660">
        <f t="shared" si="23"/>
        <v>0</v>
      </c>
    </row>
    <row r="71" spans="1:20" ht="11.25">
      <c r="A71" s="668"/>
      <c r="B71" s="679">
        <f t="shared" si="25"/>
        <v>29.9</v>
      </c>
      <c r="C71" s="645">
        <f t="shared" si="26"/>
        <v>18</v>
      </c>
      <c r="D71" s="646"/>
      <c r="E71" s="670"/>
      <c r="F71" s="671"/>
      <c r="G71" s="649"/>
      <c r="H71" s="650"/>
      <c r="I71" s="651"/>
      <c r="J71" s="696">
        <f t="shared" si="16"/>
        <v>0</v>
      </c>
      <c r="K71" s="652">
        <v>0</v>
      </c>
      <c r="L71" s="653">
        <f t="shared" si="17"/>
        <v>106.48999653587678</v>
      </c>
      <c r="M71" s="654">
        <f t="shared" si="18"/>
        <v>4.3</v>
      </c>
      <c r="N71" s="655">
        <f t="shared" si="19"/>
      </c>
      <c r="O71" s="656">
        <f t="shared" si="20"/>
        <v>0</v>
      </c>
      <c r="P71" s="768">
        <f t="shared" si="27"/>
        <v>0.7</v>
      </c>
      <c r="Q71" s="657">
        <f t="shared" si="28"/>
        <v>5</v>
      </c>
      <c r="R71" s="658">
        <f t="shared" si="21"/>
      </c>
      <c r="S71" s="659">
        <f t="shared" si="22"/>
      </c>
      <c r="T71" s="660">
        <f t="shared" si="23"/>
        <v>0</v>
      </c>
    </row>
    <row r="72" spans="1:20" ht="11.25">
      <c r="A72" s="668"/>
      <c r="B72" s="679">
        <f t="shared" si="25"/>
        <v>29.9</v>
      </c>
      <c r="C72" s="645">
        <f t="shared" si="26"/>
        <v>18</v>
      </c>
      <c r="D72" s="646"/>
      <c r="E72" s="670"/>
      <c r="F72" s="671"/>
      <c r="G72" s="649"/>
      <c r="H72" s="650"/>
      <c r="I72" s="651"/>
      <c r="J72" s="696">
        <f t="shared" si="16"/>
        <v>0</v>
      </c>
      <c r="K72" s="652">
        <v>0</v>
      </c>
      <c r="L72" s="653">
        <f t="shared" si="17"/>
        <v>106.48999653587678</v>
      </c>
      <c r="M72" s="654">
        <f t="shared" si="18"/>
        <v>4.3</v>
      </c>
      <c r="N72" s="655">
        <f t="shared" si="19"/>
      </c>
      <c r="O72" s="656">
        <f t="shared" si="20"/>
        <v>0</v>
      </c>
      <c r="P72" s="768">
        <f t="shared" si="27"/>
        <v>0.7</v>
      </c>
      <c r="Q72" s="657">
        <f t="shared" si="28"/>
        <v>5</v>
      </c>
      <c r="R72" s="658">
        <f t="shared" si="21"/>
      </c>
      <c r="S72" s="659">
        <f t="shared" si="22"/>
      </c>
      <c r="T72" s="660">
        <f t="shared" si="23"/>
        <v>0</v>
      </c>
    </row>
    <row r="73" spans="1:20" ht="11.25">
      <c r="A73" s="668"/>
      <c r="B73" s="679">
        <f t="shared" si="25"/>
        <v>29.9</v>
      </c>
      <c r="C73" s="645">
        <f t="shared" si="26"/>
        <v>18</v>
      </c>
      <c r="D73" s="646"/>
      <c r="E73" s="670"/>
      <c r="F73" s="671"/>
      <c r="G73" s="649"/>
      <c r="H73" s="650"/>
      <c r="I73" s="651"/>
      <c r="J73" s="696">
        <f t="shared" si="16"/>
        <v>0</v>
      </c>
      <c r="K73" s="652">
        <v>0</v>
      </c>
      <c r="L73" s="653">
        <f t="shared" si="17"/>
        <v>106.48999653587678</v>
      </c>
      <c r="M73" s="654">
        <f t="shared" si="18"/>
        <v>4.3</v>
      </c>
      <c r="N73" s="655">
        <f t="shared" si="19"/>
      </c>
      <c r="O73" s="656">
        <f t="shared" si="20"/>
        <v>0</v>
      </c>
      <c r="P73" s="768">
        <f t="shared" si="27"/>
        <v>0.7</v>
      </c>
      <c r="Q73" s="657">
        <f t="shared" si="28"/>
        <v>5</v>
      </c>
      <c r="R73" s="658">
        <f t="shared" si="21"/>
      </c>
      <c r="S73" s="659">
        <f t="shared" si="22"/>
      </c>
      <c r="T73" s="660">
        <f t="shared" si="23"/>
        <v>0</v>
      </c>
    </row>
    <row r="74" spans="1:20" ht="11.25">
      <c r="A74" s="668"/>
      <c r="B74" s="679">
        <f t="shared" si="25"/>
        <v>29.9</v>
      </c>
      <c r="C74" s="645">
        <f t="shared" si="26"/>
        <v>18</v>
      </c>
      <c r="D74" s="646"/>
      <c r="E74" s="670"/>
      <c r="F74" s="671"/>
      <c r="G74" s="649"/>
      <c r="H74" s="650"/>
      <c r="I74" s="651"/>
      <c r="J74" s="696">
        <f t="shared" si="16"/>
        <v>0</v>
      </c>
      <c r="K74" s="652">
        <v>0</v>
      </c>
      <c r="L74" s="653">
        <f t="shared" si="17"/>
        <v>106.48999653587678</v>
      </c>
      <c r="M74" s="654">
        <f t="shared" si="18"/>
        <v>4.3</v>
      </c>
      <c r="N74" s="655">
        <f t="shared" si="19"/>
      </c>
      <c r="O74" s="656">
        <f t="shared" si="20"/>
        <v>0</v>
      </c>
      <c r="P74" s="768">
        <f t="shared" si="27"/>
        <v>0.7</v>
      </c>
      <c r="Q74" s="657">
        <f t="shared" si="28"/>
        <v>5</v>
      </c>
      <c r="R74" s="658">
        <f t="shared" si="21"/>
      </c>
      <c r="S74" s="659">
        <f t="shared" si="22"/>
      </c>
      <c r="T74" s="660">
        <f t="shared" si="23"/>
        <v>0</v>
      </c>
    </row>
    <row r="75" spans="1:20" ht="11.25">
      <c r="A75" s="668"/>
      <c r="B75" s="679">
        <f t="shared" si="25"/>
        <v>29.9</v>
      </c>
      <c r="C75" s="645">
        <f t="shared" si="26"/>
        <v>18</v>
      </c>
      <c r="D75" s="646"/>
      <c r="E75" s="670"/>
      <c r="F75" s="671"/>
      <c r="G75" s="649"/>
      <c r="H75" s="650"/>
      <c r="I75" s="651"/>
      <c r="J75" s="696">
        <f t="shared" si="16"/>
        <v>0</v>
      </c>
      <c r="K75" s="652">
        <v>0</v>
      </c>
      <c r="L75" s="653">
        <f t="shared" si="17"/>
        <v>106.48999653587678</v>
      </c>
      <c r="M75" s="654">
        <f t="shared" si="18"/>
        <v>4.3</v>
      </c>
      <c r="N75" s="655">
        <f t="shared" si="19"/>
      </c>
      <c r="O75" s="656">
        <f t="shared" si="20"/>
        <v>0</v>
      </c>
      <c r="P75" s="768">
        <f t="shared" si="27"/>
        <v>0.7</v>
      </c>
      <c r="Q75" s="657">
        <f t="shared" si="28"/>
        <v>5</v>
      </c>
      <c r="R75" s="658">
        <f t="shared" si="21"/>
      </c>
      <c r="S75" s="659">
        <f t="shared" si="22"/>
      </c>
      <c r="T75" s="660">
        <f t="shared" si="23"/>
        <v>0</v>
      </c>
    </row>
    <row r="76" spans="1:20" ht="11.25">
      <c r="A76" s="668"/>
      <c r="B76" s="679">
        <f t="shared" si="25"/>
        <v>29.9</v>
      </c>
      <c r="C76" s="645">
        <f t="shared" si="26"/>
        <v>18</v>
      </c>
      <c r="D76" s="646"/>
      <c r="E76" s="670"/>
      <c r="F76" s="671"/>
      <c r="G76" s="649"/>
      <c r="H76" s="650"/>
      <c r="I76" s="651"/>
      <c r="J76" s="696">
        <f t="shared" si="16"/>
        <v>0</v>
      </c>
      <c r="K76" s="652">
        <v>0</v>
      </c>
      <c r="L76" s="653">
        <f t="shared" si="17"/>
        <v>106.48999653587678</v>
      </c>
      <c r="M76" s="654">
        <f t="shared" si="18"/>
        <v>4.3</v>
      </c>
      <c r="N76" s="655">
        <f t="shared" si="19"/>
      </c>
      <c r="O76" s="656">
        <f t="shared" si="20"/>
        <v>0</v>
      </c>
      <c r="P76" s="768">
        <f t="shared" si="27"/>
        <v>0.7</v>
      </c>
      <c r="Q76" s="657">
        <f t="shared" si="28"/>
        <v>5</v>
      </c>
      <c r="R76" s="658">
        <f t="shared" si="21"/>
      </c>
      <c r="S76" s="659">
        <f t="shared" si="22"/>
      </c>
      <c r="T76" s="660">
        <f t="shared" si="23"/>
        <v>0</v>
      </c>
    </row>
    <row r="77" spans="1:20" ht="11.25">
      <c r="A77" s="687"/>
      <c r="B77" s="688">
        <f t="shared" si="25"/>
        <v>29.9</v>
      </c>
      <c r="C77" s="689">
        <f t="shared" si="26"/>
        <v>18</v>
      </c>
      <c r="D77" s="690"/>
      <c r="E77" s="691"/>
      <c r="F77" s="692"/>
      <c r="G77" s="693"/>
      <c r="H77" s="694"/>
      <c r="I77" s="695"/>
      <c r="J77" s="696">
        <f t="shared" si="16"/>
        <v>0</v>
      </c>
      <c r="K77" s="652">
        <v>0</v>
      </c>
      <c r="L77" s="653">
        <f t="shared" si="17"/>
        <v>106.48999653587678</v>
      </c>
      <c r="M77" s="769">
        <f t="shared" si="18"/>
        <v>4.3</v>
      </c>
      <c r="N77" s="655">
        <f t="shared" si="19"/>
      </c>
      <c r="O77" s="770">
        <f t="shared" si="20"/>
        <v>0</v>
      </c>
      <c r="P77" s="771">
        <f t="shared" si="27"/>
        <v>0.7</v>
      </c>
      <c r="Q77" s="657">
        <f t="shared" si="28"/>
        <v>5</v>
      </c>
      <c r="R77" s="658">
        <f t="shared" si="21"/>
      </c>
      <c r="S77" s="659">
        <f t="shared" si="22"/>
      </c>
      <c r="T77" s="703">
        <f t="shared" si="23"/>
        <v>0</v>
      </c>
    </row>
    <row r="78" spans="1:30" s="720" customFormat="1" ht="11.25">
      <c r="A78" s="704" t="s">
        <v>306</v>
      </c>
      <c r="B78" s="705">
        <f>(B77-B44)</f>
        <v>0</v>
      </c>
      <c r="C78" s="705">
        <f>C77-C44</f>
        <v>-94.2</v>
      </c>
      <c r="D78" s="706"/>
      <c r="E78" s="707">
        <f>SUM(E46:E77)</f>
        <v>0</v>
      </c>
      <c r="F78" s="605">
        <f>SUM(F46:F77)</f>
        <v>0</v>
      </c>
      <c r="G78" s="584"/>
      <c r="H78" s="708"/>
      <c r="I78" s="772"/>
      <c r="J78" s="773"/>
      <c r="K78" s="774" t="s">
        <v>307</v>
      </c>
      <c r="L78" s="775">
        <f>L77</f>
        <v>106.48999653587678</v>
      </c>
      <c r="M78" s="776"/>
      <c r="N78" s="777"/>
      <c r="O78" s="778"/>
      <c r="P78" s="716"/>
      <c r="Q78" s="716"/>
      <c r="R78" s="717"/>
      <c r="S78" s="718" t="s">
        <v>308</v>
      </c>
      <c r="T78" s="719">
        <f t="shared" si="23"/>
        <v>0</v>
      </c>
      <c r="Y78" s="721"/>
      <c r="AD78" s="721"/>
    </row>
    <row r="79" spans="1:20" ht="11.25">
      <c r="A79" s="87" t="s">
        <v>314</v>
      </c>
      <c r="L79" s="722"/>
      <c r="N79" s="722"/>
      <c r="O79" s="723"/>
      <c r="Q79" s="576"/>
      <c r="R79" s="577"/>
      <c r="S79" s="724"/>
      <c r="T79" s="578"/>
    </row>
    <row r="80" spans="1:30" s="725" customFormat="1" ht="11.25">
      <c r="A80" s="725" t="s">
        <v>310</v>
      </c>
      <c r="B80" s="726">
        <f>E78+L44-L78</f>
        <v>0</v>
      </c>
      <c r="C80" s="727"/>
      <c r="D80" s="728" t="s">
        <v>311</v>
      </c>
      <c r="E80" s="729">
        <f>IF(B78=0,0,B80/B78)</f>
        <v>0</v>
      </c>
      <c r="F80" s="730"/>
      <c r="H80" s="731" t="s">
        <v>312</v>
      </c>
      <c r="I80" s="732">
        <f>IF(C78=0,0,B80/C78)</f>
        <v>0</v>
      </c>
      <c r="K80" s="733"/>
      <c r="L80" s="734"/>
      <c r="M80" s="735"/>
      <c r="N80" s="734"/>
      <c r="O80" s="736"/>
      <c r="P80" s="737"/>
      <c r="Q80" s="737"/>
      <c r="R80" s="738"/>
      <c r="S80" s="739"/>
      <c r="T80" s="733"/>
      <c r="Y80" s="740"/>
      <c r="AD80" s="740"/>
    </row>
    <row r="81" spans="1:20" ht="11.25">
      <c r="A81" s="87" t="s">
        <v>313</v>
      </c>
      <c r="L81" s="722"/>
      <c r="N81" s="722"/>
      <c r="O81" s="723"/>
      <c r="Q81" s="576"/>
      <c r="R81" s="577"/>
      <c r="S81" s="724"/>
      <c r="T81" s="578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